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defaultThemeVersion="124226"/>
  <mc:AlternateContent xmlns:mc="http://schemas.openxmlformats.org/markup-compatibility/2006">
    <mc:Choice Requires="x15">
      <x15ac:absPath xmlns:x15ac="http://schemas.microsoft.com/office/spreadsheetml/2010/11/ac" url="E:\1.  E.S.E. HOSPITAL DE NAZARETH-CONTROL INTERNO\1. CONTROL INTERNO\10.INFORMES DE SEGUIMIENTO\3. INFORME PORMENORIZADO\2023\"/>
    </mc:Choice>
  </mc:AlternateContent>
  <xr:revisionPtr revIDLastSave="0" documentId="8_{84AF3799-F246-4A62-8B28-555C69E7760B}" xr6:coauthVersionLast="47" xr6:coauthVersionMax="47" xr10:uidLastSave="{00000000-0000-0000-0000-000000000000}"/>
  <bookViews>
    <workbookView xWindow="-120" yWindow="-120" windowWidth="20730" windowHeight="11160" activeTab="2" xr2:uid="{00000000-000D-0000-FFFF-FFFF00000000}"/>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 name="_xlnm.Print_Area" localSheetId="2">'Análisis Resultados'!$B$3:$I$58</definedName>
    <definedName name="_xlnm.Print_Area" localSheetId="3">Conclusión!$B$3:$P$38</definedName>
    <definedName name="_xlnm.Print_Area" localSheetId="1">'Estado SCI'!$B$1:$I$56</definedName>
    <definedName name="_xlnm.Print_Titles" localSheetId="2">'Análisis Resultados'!$11:$12</definedName>
    <definedName name="_xlnm.Print_Titles" localSheetId="3">Conclusión!$24:$24</definedName>
    <definedName name="_xlnm.Print_Titles" localSheetId="1">'Estado SCI'!$12:$12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6" i="1" l="1"/>
  <c r="J55" i="1"/>
  <c r="J54" i="1"/>
  <c r="J53" i="1"/>
  <c r="J52" i="1"/>
  <c r="J51" i="1"/>
  <c r="J50" i="1"/>
  <c r="J49" i="1"/>
  <c r="J48" i="1"/>
  <c r="J4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A56" i="1" l="1"/>
  <c r="A55" i="1"/>
  <c r="A54" i="1"/>
  <c r="A53" i="1"/>
  <c r="A52" i="1"/>
  <c r="A51" i="1"/>
  <c r="A50" i="1"/>
  <c r="A49" i="1"/>
  <c r="A48" i="1"/>
  <c r="A47" i="1"/>
  <c r="A46" i="1"/>
  <c r="A45" i="1"/>
  <c r="A44" i="1"/>
  <c r="A43" i="1"/>
  <c r="A42" i="1"/>
  <c r="A41" i="1"/>
  <c r="A40" i="1"/>
  <c r="A39" i="1"/>
  <c r="A38" i="1"/>
  <c r="A37" i="1"/>
  <c r="A36" i="1"/>
  <c r="J34" i="1"/>
  <c r="L34" i="1" s="1"/>
  <c r="J33" i="1"/>
  <c r="L33" i="1" s="1"/>
  <c r="J32" i="1"/>
  <c r="L32" i="1" s="1"/>
  <c r="J31" i="1"/>
  <c r="L31" i="1" s="1"/>
  <c r="J30" i="1"/>
  <c r="L30" i="1" s="1"/>
  <c r="J29" i="1"/>
  <c r="L29" i="1" s="1"/>
  <c r="A35" i="1"/>
  <c r="A34" i="1"/>
  <c r="A33" i="1"/>
  <c r="A32" i="1"/>
  <c r="A31" i="1"/>
  <c r="A30" i="1"/>
  <c r="A29" i="1"/>
  <c r="L56" i="1"/>
  <c r="L55" i="1"/>
  <c r="L54" i="1"/>
  <c r="L53" i="1"/>
  <c r="L52" i="1"/>
  <c r="L51" i="1"/>
  <c r="L50" i="1"/>
  <c r="L49" i="1"/>
  <c r="L48" i="1"/>
  <c r="L47" i="1"/>
  <c r="J46" i="1"/>
  <c r="L46" i="1" s="1"/>
  <c r="J45" i="1"/>
  <c r="L45" i="1" s="1"/>
  <c r="J44" i="1"/>
  <c r="L44" i="1" s="1"/>
  <c r="J43" i="1"/>
  <c r="L43" i="1" s="1"/>
  <c r="J42" i="1"/>
  <c r="L42" i="1" s="1"/>
  <c r="J41" i="1"/>
  <c r="L41" i="1" s="1"/>
  <c r="J40" i="1"/>
  <c r="L40" i="1" s="1"/>
  <c r="J39" i="1"/>
  <c r="L39" i="1" s="1"/>
  <c r="J38" i="1"/>
  <c r="L38" i="1" s="1"/>
  <c r="J37" i="1"/>
  <c r="L37" i="1" s="1"/>
  <c r="J36" i="1"/>
  <c r="L36" i="1" s="1"/>
  <c r="J35" i="1"/>
  <c r="L35"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J15" i="1"/>
  <c r="L15" i="1" s="1"/>
  <c r="J14" i="1"/>
  <c r="L14" i="1" s="1"/>
  <c r="J13" i="1"/>
  <c r="L13" i="1" s="1"/>
  <c r="A28" i="1" l="1"/>
  <c r="A27" i="1"/>
  <c r="A26" i="1"/>
  <c r="A25" i="1"/>
  <c r="A24" i="1"/>
  <c r="A23" i="1"/>
  <c r="A22" i="1"/>
  <c r="A21" i="1"/>
  <c r="A20" i="1"/>
  <c r="A19" i="1"/>
  <c r="A18" i="1"/>
  <c r="A17" i="1"/>
  <c r="A16" i="1"/>
  <c r="A15" i="1"/>
  <c r="A14" i="1"/>
  <c r="A13"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2" i="6"/>
  <c r="H7" i="6"/>
  <c r="H5" i="6"/>
  <c r="H38" i="6"/>
  <c r="H24" i="6"/>
  <c r="H39" i="6"/>
  <c r="H9" i="6"/>
  <c r="H25" i="6"/>
  <c r="H43" i="6"/>
  <c r="H21" i="6"/>
  <c r="H41" i="6"/>
  <c r="H37" i="6"/>
  <c r="H10" i="6"/>
  <c r="H42" i="6"/>
  <c r="H29" i="6"/>
  <c r="H13" i="6"/>
  <c r="H3" i="6"/>
  <c r="H19" i="6"/>
  <c r="H32" i="6"/>
  <c r="H45" i="6"/>
  <c r="H16" i="6"/>
  <c r="H31" i="6"/>
  <c r="H30" i="6"/>
  <c r="H6" i="6"/>
  <c r="H11" i="6"/>
  <c r="H12" i="6"/>
  <c r="H27" i="6"/>
  <c r="H26" i="6"/>
  <c r="H15" i="6"/>
  <c r="H22" i="6"/>
  <c r="H14" i="6"/>
  <c r="H4" i="6"/>
  <c r="H28" i="6"/>
  <c r="H17" i="6"/>
  <c r="H44" i="6"/>
  <c r="H36" i="6"/>
  <c r="H18" i="6"/>
  <c r="H33" i="6"/>
  <c r="H8" i="6"/>
  <c r="H35" i="6"/>
  <c r="H40" i="6"/>
  <c r="H20" i="6"/>
  <c r="H23" i="6"/>
  <c r="H34" i="6"/>
  <c r="E30" i="5" l="1"/>
  <c r="E26" i="5"/>
  <c r="G26" i="5"/>
  <c r="E28" i="5"/>
  <c r="G28" i="5"/>
  <c r="G34" i="5"/>
  <c r="E34" i="5"/>
  <c r="E32" i="5"/>
  <c r="G32" i="5"/>
  <c r="E50" i="3"/>
  <c r="E42" i="3"/>
  <c r="E34" i="3"/>
  <c r="E26" i="3"/>
  <c r="E18" i="3"/>
  <c r="E49" i="3"/>
  <c r="E41" i="3"/>
  <c r="E33" i="3"/>
  <c r="E25" i="3"/>
  <c r="E17" i="3"/>
  <c r="E28" i="3"/>
  <c r="E56" i="3"/>
  <c r="E48" i="3"/>
  <c r="E40" i="3"/>
  <c r="E32" i="3"/>
  <c r="E24" i="3"/>
  <c r="E16" i="3"/>
  <c r="E47" i="3"/>
  <c r="E39" i="3"/>
  <c r="E31" i="3"/>
  <c r="E23" i="3"/>
  <c r="E51" i="3"/>
  <c r="E27" i="3"/>
  <c r="E55" i="3"/>
  <c r="E15" i="3"/>
  <c r="E52" i="3"/>
  <c r="E44" i="3"/>
  <c r="E20" i="3"/>
  <c r="E54" i="3"/>
  <c r="E46" i="3"/>
  <c r="E38" i="3"/>
  <c r="E30" i="3"/>
  <c r="E22" i="3"/>
  <c r="E14" i="3"/>
  <c r="E19" i="3"/>
  <c r="E53" i="3"/>
  <c r="E45" i="3"/>
  <c r="E37" i="3"/>
  <c r="E29" i="3"/>
  <c r="E21" i="3"/>
  <c r="E13" i="3"/>
  <c r="E36" i="3"/>
  <c r="E43" i="3"/>
  <c r="E35" i="3"/>
  <c r="D50" i="3"/>
  <c r="D34" i="3"/>
  <c r="D49" i="3"/>
  <c r="D41" i="3"/>
  <c r="D33" i="3"/>
  <c r="D25" i="3"/>
  <c r="D17" i="3"/>
  <c r="D45" i="3"/>
  <c r="D21" i="3"/>
  <c r="D52" i="3"/>
  <c r="D20" i="3"/>
  <c r="D51" i="3"/>
  <c r="D19" i="3"/>
  <c r="D18" i="3"/>
  <c r="D56" i="3"/>
  <c r="D48" i="3"/>
  <c r="D40" i="3"/>
  <c r="D32" i="3"/>
  <c r="D24" i="3"/>
  <c r="D16" i="3"/>
  <c r="D54" i="3"/>
  <c r="D14" i="3"/>
  <c r="D37" i="3"/>
  <c r="D44" i="3"/>
  <c r="D28" i="3"/>
  <c r="D43" i="3"/>
  <c r="D42" i="3"/>
  <c r="D55" i="3"/>
  <c r="D47" i="3"/>
  <c r="D39" i="3"/>
  <c r="D31" i="3"/>
  <c r="D23" i="3"/>
  <c r="D15" i="3"/>
  <c r="D46" i="3"/>
  <c r="D38" i="3"/>
  <c r="D30" i="3"/>
  <c r="D22" i="3"/>
  <c r="D53" i="3"/>
  <c r="D29" i="3"/>
  <c r="D13" i="3"/>
  <c r="D36" i="3"/>
  <c r="D35" i="3"/>
  <c r="D27" i="3"/>
  <c r="D26" i="3"/>
  <c r="H55" i="3" l="1"/>
  <c r="F55" i="3"/>
  <c r="H53" i="3"/>
  <c r="F53" i="3"/>
  <c r="H39" i="3"/>
  <c r="F39" i="3"/>
  <c r="F14" i="3"/>
  <c r="H14" i="3"/>
  <c r="F18" i="3"/>
  <c r="H18" i="3"/>
  <c r="H25" i="3"/>
  <c r="F25" i="3"/>
  <c r="H26" i="3"/>
  <c r="F26" i="3"/>
  <c r="F22" i="3"/>
  <c r="H22" i="3"/>
  <c r="H47" i="3"/>
  <c r="F47" i="3"/>
  <c r="H54" i="3"/>
  <c r="F54" i="3"/>
  <c r="F19" i="3"/>
  <c r="H19" i="3"/>
  <c r="H33" i="3"/>
  <c r="F33" i="3"/>
  <c r="F16" i="3"/>
  <c r="H16" i="3"/>
  <c r="H51" i="3"/>
  <c r="F51" i="3"/>
  <c r="H41" i="3"/>
  <c r="F41" i="3"/>
  <c r="H27" i="3"/>
  <c r="F27" i="3"/>
  <c r="H38" i="3"/>
  <c r="F38" i="3"/>
  <c r="H42" i="3"/>
  <c r="F42" i="3"/>
  <c r="H24" i="3"/>
  <c r="F24" i="3"/>
  <c r="F20" i="3"/>
  <c r="H20" i="3"/>
  <c r="H49" i="3"/>
  <c r="F49" i="3"/>
  <c r="H35" i="3"/>
  <c r="F35" i="3"/>
  <c r="H46" i="3"/>
  <c r="F46" i="3"/>
  <c r="H43" i="3"/>
  <c r="F43" i="3"/>
  <c r="H32" i="3"/>
  <c r="F32" i="3"/>
  <c r="H52" i="3"/>
  <c r="F52" i="3"/>
  <c r="H36" i="3"/>
  <c r="F36" i="3"/>
  <c r="F15" i="3"/>
  <c r="H15" i="3"/>
  <c r="H28" i="3"/>
  <c r="F28" i="3"/>
  <c r="H40" i="3"/>
  <c r="F40" i="3"/>
  <c r="H21" i="3"/>
  <c r="F21" i="3"/>
  <c r="H34" i="3"/>
  <c r="F34" i="3"/>
  <c r="H30" i="3"/>
  <c r="F30" i="3"/>
  <c r="H13" i="3"/>
  <c r="F13" i="3"/>
  <c r="F23" i="3"/>
  <c r="H23" i="3"/>
  <c r="H44" i="3"/>
  <c r="F44" i="3"/>
  <c r="H48" i="3"/>
  <c r="F48" i="3"/>
  <c r="H45" i="3"/>
  <c r="F45" i="3"/>
  <c r="H50" i="3"/>
  <c r="F50" i="3"/>
  <c r="H29" i="3"/>
  <c r="F29" i="3"/>
  <c r="H31" i="3"/>
  <c r="F31" i="3"/>
  <c r="H37" i="3"/>
  <c r="F37" i="3"/>
  <c r="H56" i="3"/>
  <c r="F56" i="3"/>
  <c r="F17" i="3"/>
  <c r="H17" i="3"/>
  <c r="I35" i="3" l="1"/>
  <c r="I47" i="3"/>
  <c r="I40" i="3"/>
  <c r="I25" i="3"/>
  <c r="I13"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<sst xmlns="http://schemas.openxmlformats.org/spreadsheetml/2006/main" count="514" uniqueCount="244">
  <si>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</si>
  <si>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</si>
  <si>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</si>
  <si>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</si>
  <si>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</si>
  <si>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</si>
  <si>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</si>
  <si>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</si>
  <si>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</si>
  <si>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</si>
  <si>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</si>
  <si>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</si>
  <si>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</si>
  <si>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</si>
  <si>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</si>
  <si>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</si>
  <si>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</si>
  <si>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</si>
  <si>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</si>
  <si>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</si>
  <si>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</si>
  <si>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</si>
  <si>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</si>
  <si>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</si>
  <si>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</si>
  <si>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</si>
  <si>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</si>
  <si>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</si>
  <si>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</si>
  <si>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</si>
  <si>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</si>
  <si>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</si>
  <si>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</si>
  <si>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</si>
  <si>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</si>
  <si>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</si>
  <si>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</si>
  <si>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b</t>
  </si>
  <si>
    <t>Un documento tal como un código de ética, integridad u otro que formalice los estándares de conducta, los principios institucionales o los valores del servicio público</t>
  </si>
  <si>
    <t>Si</t>
  </si>
  <si>
    <t>c</t>
  </si>
  <si>
    <t>Planes, programas y proyectos de acuerdo con las normas que rigen y atendiendo con su propósito fundamental institucional (misión)</t>
  </si>
  <si>
    <t>d</t>
  </si>
  <si>
    <t>Una estructura organizacional formalizada (organigrama)</t>
  </si>
  <si>
    <t>e</t>
  </si>
  <si>
    <t>Un manual de funciones que describa los empleos de la entidad</t>
  </si>
  <si>
    <t>f</t>
  </si>
  <si>
    <t>La documentación de sus procesos y procedimientos o bien una lista de actividades principales que permitan conocer el estado de su gestión</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</si>
  <si>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</si>
  <si>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</si>
  <si>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</si>
  <si>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</si>
  <si>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</si>
  <si>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</si>
  <si>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</si>
  <si>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</si>
  <si>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k</t>
  </si>
  <si>
    <t>Mecanismos de rendición de cuentas a la ciudadanía</t>
  </si>
  <si>
    <t>l</t>
  </si>
  <si>
    <t>Presentación oportuna de sus informes de gestión a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</si>
  <si>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</si>
  <si>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</si>
  <si>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</si>
  <si>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</si>
  <si>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</si>
  <si>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</si>
  <si>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</si>
  <si>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</si>
  <si>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</si>
  <si>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</si>
  <si>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</si>
  <si>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</si>
  <si>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</si>
  <si>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</si>
  <si>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</si>
  <si>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</si>
  <si>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En proceso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</si>
  <si>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</si>
  <si>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</si>
  <si>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</si>
  <si>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</si>
  <si>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</si>
  <si>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</si>
  <si>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</si>
  <si>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</si>
  <si>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</si>
  <si>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</si>
  <si>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</si>
  <si>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</si>
  <si>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</si>
  <si>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Canales de comunicación con los ciudadanos</t>
  </si>
  <si>
    <t>Canales de comunicación o mecanismos de reporte de información a otros organismos gubernamentales o de control</t>
  </si>
  <si>
    <t xml:space="preserve">Lineamientos para dar tratamiento a la información de carácter reservado </t>
  </si>
  <si>
    <t>Identificación de información que produce en el marco de su gestión (Para los ciudadanos, organismos de control, organismos gubernamentales, entre otros)</t>
  </si>
  <si>
    <t>Identificación de información necesaria para la operación de la entidad (normograma, presupuesto, talento humano, infraestructura física y tecnológica)</t>
  </si>
  <si>
    <t>Si su capacidad e infraestructura lo permite, tecnologías de la información y las comunicaciones que soporten estos procesos</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</si>
  <si>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</si>
  <si>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</si>
  <si>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</si>
  <si>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</si>
  <si>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</si>
  <si>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</si>
  <si>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Seguimiento a los planes de mejoramiento suscritos con instancias de control internas o externas</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</si>
  <si>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</si>
  <si>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</si>
  <si>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</si>
  <si>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</si>
  <si>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</si>
  <si>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</si>
  <si>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Controlar los puntos críticos en los procesos.</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</si>
  <si>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</si>
  <si>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</si>
  <si>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</si>
  <si>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</si>
  <si>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</si>
  <si>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</si>
  <si>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</si>
  <si>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</si>
  <si>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</si>
  <si>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</si>
  <si>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</si>
  <si>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</si>
  <si>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</si>
  <si>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</si>
  <si>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</si>
  <si>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</si>
  <si>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</si>
  <si>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</si>
  <si>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</si>
  <si>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</si>
  <si>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</si>
  <si>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</si>
  <si>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</si>
  <si>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</si>
  <si>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</si>
  <si>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</si>
  <si>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</si>
  <si>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</si>
  <si>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</si>
  <si>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</si>
  <si>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</si>
  <si>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</si>
  <si>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</si>
  <si>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</si>
  <si>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</si>
  <si>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</si>
  <si>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</si>
  <si>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</si>
  <si>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</si>
  <si>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</si>
  <si>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</si>
  <si>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</si>
  <si>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</si>
  <si>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</si>
  <si>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</si>
  <si>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</si>
  <si>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</si>
  <si>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</si>
  <si>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</si>
  <si>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</si>
  <si>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</si>
  <si>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</si>
  <si>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</si>
  <si>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</si>
  <si>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</si>
  <si>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</si>
  <si>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</si>
  <si>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</si>
  <si>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</si>
  <si>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</si>
  <si>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</si>
  <si>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</si>
  <si>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</si>
  <si>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</si>
  <si>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</si>
  <si>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</si>
  <si>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</si>
  <si>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</si>
  <si>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</si>
  <si>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</si>
  <si>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</si>
  <si>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</si>
  <si>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</si>
  <si>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</si>
  <si>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</si>
  <si>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</si>
  <si>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</si>
  <si>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</si>
  <si>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</si>
  <si>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</si>
  <si>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</si>
  <si>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Se tiene Adoptado el Codigo de integridad de la ESE Hospital de Nazareth mediante la Resolucion N° 242 del 2018</t>
  </si>
  <si>
    <t>Se tiene conformado el comité territorial de control interno, en la cual se han realizado reuniones tratando estos temas con el fin de fortalecer la labor de auditoria</t>
  </si>
  <si>
    <t>E.S.E Hospital de Nazareth</t>
  </si>
  <si>
    <t>El manual de funciones del Hospital fue Ajustado y aprobado por Junta Directiva con el Acuerdo N° 006 del 2020</t>
  </si>
  <si>
    <t>Algunos de los informes a los entes de control  se estan entregando de manera extemporanea, lo cual se esta convirtiendo en un inconveniente serio para la administracion.</t>
  </si>
  <si>
    <t>Se identifican los problemas que afectan el cumplimiento de los planes de la entidad y son reportados a la gerencia y al comité de coordinacion de control interno.</t>
  </si>
  <si>
    <t>La infraustuctura tecnologica de la institucion es muy fragil, y se evidencian muchos problemas a causa de la conectividad, carencia de equipos tecnologicos y una red que debe ser mejorada</t>
  </si>
  <si>
    <t>Aunque  se tienen formulados planes institucionales que son evaluados periodicamente para verificar su cumplimiento, los informes que se presentan con el  avance de cumplimiento no son tenidos en cuenta para la formulacion y aplicación de acciones de mejora</t>
  </si>
  <si>
    <t>No se cumple en la ESE Hospital de Nazareth</t>
  </si>
  <si>
    <t>Se tiene elaborado y adoptado mediante acto administrativo la implementacion del MECI y la actualizacion del modelo con las Resoluciones N° 850 del 2014 y la Resolucion N° 019 del 2018</t>
  </si>
  <si>
    <t>La oficina de Control Interno y la Coordinacion de calidad en el ejercico de auditoria, hemos venido identificando las situaciones que ponen en riesgo los procesos del Hospital, los cuales son reportados al comité de calidad y al comite de coordinación de control interno para su conocimiento, e intervencion con la implementaciones de acciones correctivas que eviten la materializacion de suceso que impidan obtener el resultado esperado.</t>
  </si>
  <si>
    <t>Se viene reportando a la Gerencia y al comité coordinador de control interno los  problemas que se vienen evidenciando en las auditorias internas y externas, para que sean formulados por parte de los responsables del proceso, las aciones  de mejora a implementar</t>
  </si>
  <si>
    <t>Se reporta con cierta regularidad a la gerencia y/o al  responsable del proceso donde se evidencie la inconsistencias, cual es la accion inadecuada  que debe ser intervenida y se le debe realizar las mejoras correspondientes</t>
  </si>
  <si>
    <t>con la identificacion de las  deficiencias en los procesos auditados se hacen las recomendaciones respectivas para su mejoramiento</t>
  </si>
  <si>
    <t>Se han venido proponiendo reuniones de comites tecnicos para exponer las situaciones que afectan los procesos, para que de manera conjunta con el equipo de trabajo se analicen los errores y se definan las acciones correctivas que permitan mejorar el proceso</t>
  </si>
  <si>
    <t>Aunque se les da autonomia a los lideres de procesos para realizar las acciones de mejora muy pocos realizan esta labor.</t>
  </si>
  <si>
    <t>En la mayoria de los casos cuando el organismo de control o las entidades que realizan auditorias encuentran los hallazgos, son implementadas y aplicadas las acciones de mejora en el proceso</t>
  </si>
  <si>
    <t xml:space="preserve">Aun cuando el Hospital cuenta con las oficinas de sistemas de informacion y tecnologia, de  Comunicaciones, archivos y gestion documental,  el proceso de radicacion y seguimiento a la trazabilidad de la informacion No se cumple de manera efectiva. </t>
  </si>
  <si>
    <t>Dispone de una pagina web institucional y correos electronicos institucionales, para mantener una comunicación constante con los ciudadanos  http://esehospitaldenazareth.gov.co/index.php</t>
  </si>
  <si>
    <t>Aunque Dispone de correos electronicos institucionales para la recepcion y presentacion de la informacion,  esta herramienta No esta siendo utilizada por la gran mayoria los funcionarios de la institucion.</t>
  </si>
  <si>
    <t>Es una labor de Gestion Documental y de archivo, que No ha sido realizada en el Hospital</t>
  </si>
  <si>
    <t>No se ha realizado en el Hospital de Nazareth</t>
  </si>
  <si>
    <t>Se realiza auditoria interna para evaluar la efectividad de los procesos, y el informe de resultados es presentado al comité institucional de coordinacion de control interno; ademas son elaborados  los diferentes informes que por normativa deben ser presentados a la gerencia y publicados en la web institucional,</t>
  </si>
  <si>
    <t>Se esta tratando de implementar acciones que lleven a  corregir esas situaciones que estan afectando el logro de los objetivos institucionales pero No ha sido posible.</t>
  </si>
  <si>
    <t>Se exponen aquellos problemas que afectan el logro de los objetivos en los comites institucionales, pero rara vez son gestionados o corregidos.</t>
  </si>
  <si>
    <t>La oficina de control interno ha venido insistiendo en la  aplicacion de los controles y el cumplimiento de los procesos estipulados en los manuales institucionales, se observan procesos que No cumplen con la labor de manera efectiva, y que apesar de las observaciones y recomendaciones realizadas en las auditorias internas y externas siguen mostrando deficiencias. Se ha recomendado Actualizar el Manual de Procesos y Procedimientos de la ESE Hospital de Nazareth</t>
  </si>
  <si>
    <t>El sistema de control interno No esta siendo efectivo para el cumplimiento de los objetivos evaluados, donde es evidente la falta de compromiso de algunas areas de la entidad, que no estan cumpliendo con las acciones sugeridas para a la implementacion efectiva del modelo y la prevencion del riesgo.</t>
  </si>
  <si>
    <t>Aunque existen lideres y coordinadores de procesos que actuan como responsables de las lineas de defensa, No se ve el interes de los funcionarios en participar y apropiarse de las labores de implementacion del modelo, en algunos casos por desconocimiento de sus roles o funciones, o por que no ven la necesidad de reorganizar sus procesos ya que historicamente han venido realizando sus labores mecanicamente basados en una constumbre.</t>
  </si>
  <si>
    <t>Aun cuando se tiene documentado y caraterizada la actividad en el manual de Procesos y Procedimientos, estos NO se cumplen como tal</t>
  </si>
  <si>
    <t xml:space="preserve">Se elaboran planes de mejoramiento que formulen acciones correctivas para mejorar el proceso, haciendo acompañamiento por parte de control interno.  </t>
  </si>
  <si>
    <t xml:space="preserve">Se elaboran planes de mejoramiento que formulen acciones correctivas para mejorar el proceso, sin embargo se estan cumpliendo parcialmente. </t>
  </si>
  <si>
    <t>No se cumple en la ESE Hospital de Nazareth, pues los riesgos aunque son evaluados y reportados a la gerencia y comite coordinador de control interno, poco se hace para mitigarlos</t>
  </si>
  <si>
    <r>
      <t>Debilidades: 
*</t>
    </r>
    <r>
      <rPr>
        <sz val="18"/>
        <color theme="1"/>
        <rFont val="Calibri"/>
        <family val="2"/>
        <scheme val="minor"/>
      </rPr>
      <t xml:space="preserve">No se realiza el seguimiento a los indicadores de gestion institucional con el cual se evalua el cumplimiento de los objetivos trazados en el plan de gestion
*No se ha actualizado el manual de procesos y procedimientos de la institucion
 *Los lideres de procesos y coordinadores de area No estan realizando la evaluacion de riesgos a sus procesos. 
</t>
    </r>
    <r>
      <rPr>
        <b/>
        <sz val="18"/>
        <color theme="1"/>
        <rFont val="Calibri"/>
        <family val="2"/>
        <scheme val="minor"/>
      </rPr>
      <t>Fortalezas:
*</t>
    </r>
    <r>
      <rPr>
        <sz val="18"/>
        <color theme="1"/>
        <rFont val="Calibri"/>
        <family val="2"/>
        <scheme val="minor"/>
      </rPr>
      <t xml:space="preserve">Se tiene conformado los comites institucionales que por normativa deben estar conformados
*Se realizan auditorias  internas y externas  para evaluar el cumplimiento de los procesos y procedimientos de la institucion.
</t>
    </r>
  </si>
  <si>
    <r>
      <t>Debilidades
*</t>
    </r>
    <r>
      <rPr>
        <sz val="18"/>
        <color theme="1"/>
        <rFont val="Calibri"/>
        <family val="2"/>
        <scheme val="minor"/>
      </rPr>
      <t xml:space="preserve">No se han realizado los seguimientos por parte de los responsables de las diversas lineas de defensa.
*No son analizados con el equipo de trabajo, los avances en el cumplimiento de los indicadores de gestion     
*Los compromisos adquiridos en los comites o reuniones de trabajo pocas veces son cumplidos.
</t>
    </r>
    <r>
      <rPr>
        <b/>
        <sz val="18"/>
        <color theme="1"/>
        <rFont val="Calibri"/>
        <family val="2"/>
        <scheme val="minor"/>
      </rPr>
      <t xml:space="preserve">Fortalezas
</t>
    </r>
    <r>
      <rPr>
        <sz val="18"/>
        <color theme="1"/>
        <rFont val="Calibri"/>
        <family val="2"/>
        <scheme val="minor"/>
      </rPr>
      <t>*Se socializa y publica en la pagina web institucional el plan anual de auditoria interna
*Se les recuerda a los lideres de area, el  seguimiento a los planes institucionales que deben realizar semestralmente segun lo definido en la resolucion.
*Se hace el seguimiento y reportan los avances trimestrales en los planes de mejoramiento suscritos con la contraloria general del departamento.</t>
    </r>
  </si>
  <si>
    <t>El area de recursos Humanos tiene identificado y caracterizados los funcionarios de la entidad, asi como su tipo de vinculacion, se debe hacer una revision del plan de cargos de la institucion para realizar los ajustes pertinentes en la planta de personal de la institucion</t>
  </si>
  <si>
    <t>Muy pocos procesos cumplen con la formulacion de los planes de mejoramiento derivados de las auditorias, sin embargo la oficina de control interno sigue insistiendo en la necesidad y el deber que tienen los funcionarios y contratistas de cumplir con la formulacion y cumplimiento de ellos</t>
  </si>
  <si>
    <t>Aunque se tiene adoptada una estructura organizacional mediante acuerdo de Junta Directiva N° 011 del 2016, es necesario hacer una actualizacion al organigrama de la institucion ya que el aprobado No se ajusta a la Estructura real de la entidad.</t>
  </si>
  <si>
    <r>
      <t xml:space="preserve">El Hospital de Nazareth tiene elaborado y publicado en la pagina web institucional el plan anual de capacitacion y formacion institucional, al igual lo hizo con el plan de bienestar social, e incentivos para la vigencia 2023, planes se cumplieron parcialmente y estan publicados en:
</t>
    </r>
    <r>
      <rPr>
        <b/>
        <sz val="11"/>
        <rFont val="Arial Narrow"/>
        <family val="2"/>
      </rPr>
      <t xml:space="preserve">Bienestar e Incentivos: </t>
    </r>
    <r>
      <rPr>
        <sz val="11"/>
        <rFont val="Arial Narrow"/>
        <family val="2"/>
      </rPr>
      <t xml:space="preserve">
http://esehospitaldenazareth.gov.co/index.php/plan-de-bienestar-social-capacitacion-e-incentivos/plan-de-bienestar-social-capacitacin-e-incentivos-2023
</t>
    </r>
    <r>
      <rPr>
        <b/>
        <sz val="11"/>
        <rFont val="Arial Narrow"/>
        <family val="2"/>
      </rPr>
      <t xml:space="preserve">Capacitacion y Formacion: </t>
    </r>
    <r>
      <rPr>
        <sz val="11"/>
        <rFont val="Arial Narrow"/>
        <family val="2"/>
      </rPr>
      <t>http://esehospitaldenazareth.gov.co/index.php/plan-anual-de-formacion-y-capacitacion/plan-anual-de-formacion-y-capacitacion-2023</t>
    </r>
  </si>
  <si>
    <t>El evento de Audiencia Publica de Rendicion de cuentas de la Vigencia 2022, fue realizada exitosamente el pasado 07 de Julio del 2023.</t>
  </si>
  <si>
    <t>El Hospital Tiene elaborado la matriz de riesgo de corrupcion del 2022</t>
  </si>
  <si>
    <t>se elaboro el plan anticorrupcion y de atencion al ciudadano y fue socializado y publicado en la pagina web del hospital link de acceso http://esehospitaldenazareth.gov.co/index.php/plan-anticorrupcion-y-de-atencion-al-ciudadano/plan-de-anticorrupcion-2023</t>
  </si>
  <si>
    <t>De las Auditorias realizadas en la vigencia 2023, se han realizado seguimientos paulatinamente por parte de control interno.</t>
  </si>
  <si>
    <t>Se elaboraron los planes y programas del 2023, documentos que estan aprobados con la Resolucion N° 015 del 15 de Enero 2023.
Estos planes fueron publicadas en la pagina web institucional en el link de acceso.. http://esehospitaldenazareth.gov.co/index.php/gestion-y-control/planeacion-institucional.</t>
  </si>
  <si>
    <t>Se tienen documentados los Procesos y procedimientos de cada area del Hospital, sin embargo estas deben ser ajustadas y actualizadas. En razon a los cambios que se han venido dando en la institucion</t>
  </si>
  <si>
    <t>Se ha venido trabajando en el mejoramiento de la infraestructura tecnologica de la entidad, implementando un nuevo software administrativo, financiero y asistencial que ayude a simplificar y dinamizar procesos</t>
  </si>
  <si>
    <r>
      <rPr>
        <b/>
        <sz val="18"/>
        <rFont val="Calibri"/>
        <family val="2"/>
        <scheme val="minor"/>
      </rPr>
      <t xml:space="preserve">Debilidades:
</t>
    </r>
    <r>
      <rPr>
        <sz val="18"/>
        <rFont val="Calibri"/>
        <family val="2"/>
        <scheme val="minor"/>
      </rPr>
      <t xml:space="preserve">*Se debe seguir insistiendo a los lideres de procesos, implementar las acciones para cumplir con lo formulado en los planes institucionales.
*No se tiene actualizado el Manual de procesos y procedimientos de la entidad teniendo en cuentas los cambios surtidos en los algunos procesos.
</t>
    </r>
    <r>
      <rPr>
        <b/>
        <sz val="18"/>
        <rFont val="Calibri"/>
        <family val="2"/>
        <scheme val="minor"/>
      </rPr>
      <t xml:space="preserve">Fortalezas:
</t>
    </r>
    <r>
      <rPr>
        <sz val="18"/>
        <rFont val="Calibri"/>
        <family val="2"/>
        <scheme val="minor"/>
      </rPr>
      <t xml:space="preserve">*Se tiene elaborado y aprobado por resolucion los planes operativos institucionales del 2023
*Se tiene elaborado, aprobado y socializado el codigo de integridad
*La oficina de control interno presento a la gerencia y al comite de coordinacion de control interno El plan anual de Auditoria para la vigencia 2023.
* Se elaboro la Evaluacion de Desempeño Institucional a los funcionarios de carrera de la ESE Hospital de Nazareth
</t>
    </r>
  </si>
  <si>
    <r>
      <t xml:space="preserve">Debilidades:
</t>
    </r>
    <r>
      <rPr>
        <sz val="18"/>
        <color theme="1"/>
        <rFont val="Calibri"/>
        <family val="2"/>
        <scheme val="minor"/>
      </rPr>
      <t xml:space="preserve">*Aun cuando se tiene institucionalizado la politica de administracion del Riesgo No se esta aplicando en la entidad , por lo que es necesario fortalecer  la gestión del riesgo, como direccionamiento estratégico y de planeación, para el logro de los objetivos institucionales.
*Los lideres de procesos y cordinadores de area No estan asumiendo la responsabilidad  de la implementacion de controles y la evaluacion de su efectividad.
</t>
    </r>
    <r>
      <rPr>
        <b/>
        <sz val="18"/>
        <color theme="1"/>
        <rFont val="Calibri"/>
        <family val="2"/>
        <scheme val="minor"/>
      </rPr>
      <t xml:space="preserve">Fortalezas:
</t>
    </r>
    <r>
      <rPr>
        <sz val="18"/>
        <color theme="1"/>
        <rFont val="Calibri"/>
        <family val="2"/>
        <scheme val="minor"/>
      </rPr>
      <t>*Se tiene aprobado y socializado la politica de administración del riesgo
*Aun no se han actualizado los mapas de Riesgos de la Vigencia  2023</t>
    </r>
  </si>
  <si>
    <r>
      <rPr>
        <b/>
        <sz val="18"/>
        <color theme="1"/>
        <rFont val="Calibri"/>
        <family val="2"/>
        <scheme val="minor"/>
      </rPr>
      <t>Debilidades</t>
    </r>
    <r>
      <rPr>
        <sz val="18"/>
        <color theme="1"/>
        <rFont val="Calibri"/>
        <family val="2"/>
        <scheme val="minor"/>
      </rPr>
      <t xml:space="preserve">
*No se ha implementado el sistema de Gestion Documental 
*Apesar de que el hospital tiene habilitado los correos corporativos para la comunicación de caracter institucional la mayoria de los funcionarios  No lo estan utilizando.
*En el 2023 NO se logro terminar con el proceso de implementacion del software administrativo y asistencial que se tiene contratado.
*Se evidencia una gran deficiencia en la comunicacion interna entre las diferentes areas y procesos de la institucion.
</t>
    </r>
    <r>
      <rPr>
        <b/>
        <sz val="18"/>
        <color theme="1"/>
        <rFont val="Calibri"/>
        <family val="2"/>
        <scheme val="minor"/>
      </rPr>
      <t>Fortalezas
*</t>
    </r>
    <r>
      <rPr>
        <sz val="18"/>
        <color theme="1"/>
        <rFont val="Calibri"/>
        <family val="2"/>
        <scheme val="minor"/>
      </rPr>
      <t xml:space="preserve">Se dispone de una pagina web institucional, y redes sociales facebok, twitter e instagram para publicar informacion a los usuarios y demas grupos de interes, promoviendo la participacion ciudadana
*se habilitaron los correos corporativos para las comunicaciones de caracter institucional con el cual los funcionarios del hospital deben recibir y remitir informacion.
* Se realizan actividades de ludicas y recreativas con la cual se busca mantener un contacto cercano y permanente con los usuarios, en la cual tambien se les realizan charlas de les capacita en sus Derechos y Deberes, el portafolio de servicios del Hospital, las lineas de atencion al usuario, los canales para colocar una PQRS, y otros temas considerados de gran relevancia para los usuarios y la entidad
</t>
    </r>
  </si>
  <si>
    <t>Julio  a  Diciembre del 2023</t>
  </si>
  <si>
    <t>Para la vigencia 2023 ,  se elaboro  la matriz de riesgos de corrupcion de la entidad.</t>
  </si>
  <si>
    <t>http://esehospitaldenazareth.gov.co/index.php/plan-de-bienestar-social-capacitacion-e-incentivos/plan-de-bienestar-social-capacitacin-e-incentivos-2023</t>
  </si>
  <si>
    <t>Se ha venido trabajando en la identificacion de la informacion institucional con la actualizacion de la pagina web, pero ha sido muy complicado por el poco compromiso de algunas areas, en  desarrollar las  actividades requeridas que permitan cumplir con la labor</t>
  </si>
  <si>
    <t>Aunque se tienen formulados indficadores y listas de chequeo para la evaluacion y monitoreo de la gestion de cada area, NO son evaluados ni Revisados por los directivos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</si>
</sst>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60"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u/>
      <sz val="11"/>
      <color theme="10"/>
      <name val="Calibri"/>
      <family val="2"/>
      <scheme val="minor"/>
    </font>
    <font>
      <sz val="18"/>
      <color theme="1"/>
      <name val="Calibri"/>
      <family val="2"/>
      <scheme val="minor"/>
    </font>
    <font>
      <sz val="18"/>
      <name val="Calibri"/>
      <family val="2"/>
      <scheme val="minor"/>
    </font>
    <font>
      <b/>
      <sz val="25"/>
      <color theme="1"/>
      <name val="Arial Narrow"/>
      <family val="2"/>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6">
    <xf numFmtId="0" fontId="0" fillId="0" borderId="0"/>
    <xf numFmtId="9" fontId="3" fillId="0" borderId="0" applyFont="0" applyFill="0" applyBorder="0" applyAlignment="0" applyProtection="0"/>
    <xf numFmtId="0" fontId="21" fillId="0" borderId="0"/>
    <xf numFmtId="0" fontId="29" fillId="0" borderId="0"/>
    <xf numFmtId="0" fontId="33" fillId="0" borderId="0"/>
    <xf numFmtId="0" fontId="56" fillId="0" borderId="0" applyNumberFormat="0" applyFill="0" applyBorder="0" applyAlignment="0" applyProtection="0"/>
  </cellStyleXfs>
  <cellXfs count="329">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7" fillId="4" borderId="0" xfId="0" applyFont="1" applyFill="1" applyAlignment="1">
      <alignment horizontal="center"/>
    </xf>
    <xf numFmtId="0" fontId="0" fillId="4" borderId="21" xfId="0" applyFill="1" applyBorder="1"/>
    <xf numFmtId="164" fontId="7" fillId="4" borderId="0" xfId="0" applyNumberFormat="1" applyFont="1" applyFill="1" applyAlignment="1">
      <alignment horizontal="center"/>
    </xf>
    <xf numFmtId="0" fontId="8" fillId="4" borderId="0" xfId="0" applyFont="1" applyFill="1" applyAlignment="1">
      <alignment vertical="center"/>
    </xf>
    <xf numFmtId="0" fontId="10" fillId="4" borderId="0" xfId="0" applyFont="1" applyFill="1" applyAlignment="1">
      <alignment horizontal="center" vertical="center"/>
    </xf>
    <xf numFmtId="0" fontId="11" fillId="4" borderId="0" xfId="0" applyFont="1" applyFill="1"/>
    <xf numFmtId="0" fontId="9" fillId="4" borderId="0" xfId="0" applyFont="1" applyFill="1" applyAlignment="1">
      <alignment horizontal="center" vertical="center"/>
    </xf>
    <xf numFmtId="0" fontId="2" fillId="4" borderId="30" xfId="0" applyFont="1" applyFill="1" applyBorder="1" applyAlignment="1">
      <alignment horizontal="center" vertical="center"/>
    </xf>
    <xf numFmtId="0" fontId="2" fillId="4" borderId="0" xfId="0" applyFont="1" applyFill="1" applyAlignment="1">
      <alignment horizontal="center" vertical="center"/>
    </xf>
    <xf numFmtId="0" fontId="12" fillId="4" borderId="0" xfId="0" applyFont="1" applyFill="1" applyAlignment="1">
      <alignment wrapText="1"/>
    </xf>
    <xf numFmtId="0" fontId="13" fillId="4" borderId="0" xfId="0" applyFont="1" applyFill="1" applyAlignment="1">
      <alignment wrapText="1"/>
    </xf>
    <xf numFmtId="0" fontId="5" fillId="0" borderId="0" xfId="0" applyFont="1" applyAlignment="1">
      <alignment vertical="center"/>
    </xf>
    <xf numFmtId="9" fontId="2" fillId="0" borderId="0" xfId="0" applyNumberFormat="1" applyFont="1" applyAlignment="1">
      <alignment vertical="center"/>
    </xf>
    <xf numFmtId="0" fontId="2" fillId="4" borderId="21" xfId="0" applyFont="1" applyFill="1" applyBorder="1" applyAlignment="1">
      <alignment vertical="center"/>
    </xf>
    <xf numFmtId="0" fontId="2" fillId="4" borderId="0" xfId="0" applyFont="1" applyFill="1" applyAlignment="1">
      <alignment vertical="center"/>
    </xf>
    <xf numFmtId="0" fontId="0" fillId="0" borderId="3" xfId="0" applyBorder="1"/>
    <xf numFmtId="0" fontId="5" fillId="4" borderId="0" xfId="0" applyFont="1" applyFill="1" applyAlignment="1">
      <alignment vertical="center"/>
    </xf>
    <xf numFmtId="0" fontId="2" fillId="4" borderId="0" xfId="0" applyFont="1" applyFill="1" applyAlignment="1">
      <alignment horizontal="left" vertical="center"/>
    </xf>
    <xf numFmtId="0" fontId="15" fillId="4" borderId="0" xfId="0" applyFont="1" applyFill="1" applyAlignment="1">
      <alignment vertical="center"/>
    </xf>
    <xf numFmtId="0" fontId="16" fillId="4" borderId="0" xfId="0" applyFont="1" applyFill="1"/>
    <xf numFmtId="0" fontId="0" fillId="4" borderId="34" xfId="0" applyFill="1" applyBorder="1"/>
    <xf numFmtId="0" fontId="0" fillId="4" borderId="35" xfId="0" applyFill="1" applyBorder="1"/>
    <xf numFmtId="0" fontId="0" fillId="4" borderId="36" xfId="0" applyFill="1" applyBorder="1"/>
    <xf numFmtId="0" fontId="20" fillId="0" borderId="0" xfId="0" applyFont="1" applyAlignment="1">
      <alignment horizontal="center" wrapText="1"/>
    </xf>
    <xf numFmtId="0" fontId="5" fillId="4" borderId="0" xfId="0" applyFont="1" applyFill="1" applyAlignment="1">
      <alignment horizontal="center" vertical="center" wrapText="1"/>
    </xf>
    <xf numFmtId="0" fontId="4" fillId="4" borderId="0" xfId="0" applyFont="1" applyFill="1"/>
    <xf numFmtId="0" fontId="5" fillId="4" borderId="0" xfId="0" applyFont="1" applyFill="1" applyAlignment="1">
      <alignment horizontal="left" vertical="center"/>
    </xf>
    <xf numFmtId="9" fontId="5" fillId="4" borderId="0" xfId="0" applyNumberFormat="1" applyFont="1" applyFill="1" applyAlignment="1">
      <alignment horizontal="center" vertical="center"/>
    </xf>
    <xf numFmtId="0" fontId="4" fillId="4" borderId="0" xfId="0" applyFont="1" applyFill="1" applyAlignment="1">
      <alignment horizontal="left"/>
    </xf>
    <xf numFmtId="0" fontId="22" fillId="0" borderId="0" xfId="2" applyFont="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xf numFmtId="0" fontId="26" fillId="4" borderId="59" xfId="3" applyFont="1" applyFill="1" applyBorder="1" applyAlignment="1">
      <alignment vertical="top" wrapText="1"/>
    </xf>
    <xf numFmtId="0" fontId="26" fillId="4" borderId="0" xfId="3" applyFont="1" applyFill="1" applyAlignment="1">
      <alignment vertical="top" wrapText="1"/>
    </xf>
    <xf numFmtId="0" fontId="26" fillId="4" borderId="60" xfId="3" applyFont="1" applyFill="1" applyBorder="1" applyAlignment="1">
      <alignment vertical="top" wrapText="1"/>
    </xf>
    <xf numFmtId="0" fontId="26" fillId="4" borderId="59" xfId="3" applyFont="1" applyFill="1" applyBorder="1" applyAlignment="1">
      <alignment horizontal="left" vertical="top"/>
    </xf>
    <xf numFmtId="0" fontId="26" fillId="4" borderId="60" xfId="3" applyFont="1" applyFill="1" applyBorder="1" applyAlignment="1">
      <alignment horizontal="left" vertical="top"/>
    </xf>
    <xf numFmtId="0" fontId="26" fillId="4" borderId="59" xfId="3" applyFont="1" applyFill="1" applyBorder="1"/>
    <xf numFmtId="0" fontId="34" fillId="4" borderId="0" xfId="4" applyFont="1" applyFill="1" applyAlignment="1">
      <alignment horizontal="left" vertical="top" wrapText="1" readingOrder="1"/>
    </xf>
    <xf numFmtId="0" fontId="26" fillId="4" borderId="60" xfId="3" applyFont="1" applyFill="1" applyBorder="1"/>
    <xf numFmtId="0" fontId="26" fillId="4" borderId="72" xfId="3" applyFont="1" applyFill="1" applyBorder="1"/>
    <xf numFmtId="0" fontId="26" fillId="4" borderId="73" xfId="3" applyFont="1" applyFill="1" applyBorder="1"/>
    <xf numFmtId="0" fontId="26" fillId="4" borderId="74" xfId="3" applyFont="1" applyFill="1" applyBorder="1"/>
    <xf numFmtId="0" fontId="34" fillId="4" borderId="0" xfId="0" applyFont="1" applyFill="1" applyAlignment="1">
      <alignment horizontal="left" vertical="center" wrapText="1"/>
    </xf>
    <xf numFmtId="0" fontId="35" fillId="4" borderId="0" xfId="0" applyFont="1" applyFill="1" applyAlignment="1">
      <alignment horizontal="left" vertical="top" wrapText="1"/>
    </xf>
    <xf numFmtId="0" fontId="26" fillId="4" borderId="0" xfId="3" quotePrefix="1" applyFont="1" applyFill="1" applyAlignment="1">
      <alignment horizontal="left" vertical="center" wrapText="1"/>
    </xf>
    <xf numFmtId="0" fontId="32" fillId="4" borderId="0" xfId="3" applyFont="1" applyFill="1" applyAlignment="1">
      <alignment horizontal="left" vertical="center" wrapText="1"/>
    </xf>
    <xf numFmtId="0" fontId="26" fillId="4" borderId="0" xfId="3" applyFont="1" applyFill="1" applyAlignment="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0" borderId="0" xfId="0" applyFont="1" applyAlignment="1">
      <alignment vertical="top"/>
    </xf>
    <xf numFmtId="0" fontId="8" fillId="0" borderId="0" xfId="0"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5" fillId="5" borderId="5"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Border="1" applyAlignment="1">
      <alignment horizontal="center" vertical="center"/>
    </xf>
    <xf numFmtId="0" fontId="53" fillId="0" borderId="0" xfId="0" applyFont="1" applyAlignment="1">
      <alignment horizontal="center"/>
    </xf>
    <xf numFmtId="0" fontId="52" fillId="12" borderId="31" xfId="0" applyFont="1" applyFill="1" applyBorder="1" applyAlignment="1">
      <alignment horizontal="center" vertical="center" wrapText="1"/>
    </xf>
    <xf numFmtId="0" fontId="42" fillId="0" borderId="0" xfId="0" applyFont="1" applyAlignment="1">
      <alignment horizontal="center" vertical="center" wrapText="1"/>
    </xf>
    <xf numFmtId="0" fontId="25" fillId="4" borderId="0" xfId="2" applyFont="1" applyFill="1" applyAlignment="1">
      <alignment vertical="center" wrapText="1"/>
    </xf>
    <xf numFmtId="0" fontId="35" fillId="4" borderId="0" xfId="2" applyFont="1" applyFill="1" applyAlignment="1">
      <alignment vertical="center" wrapText="1"/>
    </xf>
    <xf numFmtId="0" fontId="36" fillId="0" borderId="0" xfId="0"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Font="1" applyAlignment="1" applyProtection="1">
      <alignment horizontal="center" vertical="top"/>
      <protection hidden="1"/>
    </xf>
    <xf numFmtId="0" fontId="39" fillId="0" borderId="9" xfId="0" applyFont="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Font="1" applyAlignment="1" applyProtection="1">
      <alignment vertical="top"/>
      <protection hidden="1"/>
    </xf>
    <xf numFmtId="0" fontId="43" fillId="0" borderId="2" xfId="0" applyFont="1" applyBorder="1" applyAlignment="1" applyProtection="1">
      <alignment horizontal="center" vertical="center" wrapText="1"/>
      <protection locked="0"/>
    </xf>
    <xf numFmtId="0" fontId="36" fillId="0" borderId="79" xfId="0" applyFont="1" applyBorder="1" applyAlignment="1" applyProtection="1">
      <alignment horizontal="left" vertical="center" wrapText="1"/>
      <protection locked="0"/>
    </xf>
    <xf numFmtId="0" fontId="43" fillId="0" borderId="3" xfId="0" applyFont="1" applyBorder="1" applyAlignment="1" applyProtection="1">
      <alignment horizontal="center" vertical="center" wrapText="1"/>
      <protection locked="0"/>
    </xf>
    <xf numFmtId="0" fontId="36" fillId="0" borderId="9" xfId="0" applyFont="1" applyBorder="1" applyAlignment="1" applyProtection="1">
      <alignment horizontal="left" vertical="center" wrapText="1"/>
      <protection locked="0"/>
    </xf>
    <xf numFmtId="0" fontId="43" fillId="0" borderId="4" xfId="0" applyFont="1" applyBorder="1" applyAlignment="1" applyProtection="1">
      <alignment horizontal="center" vertical="center" wrapText="1"/>
      <protection locked="0"/>
    </xf>
    <xf numFmtId="0" fontId="36" fillId="0" borderId="80" xfId="0" applyFont="1" applyBorder="1" applyAlignment="1" applyProtection="1">
      <alignment horizontal="left" vertical="center" wrapText="1"/>
      <protection locked="0"/>
    </xf>
    <xf numFmtId="0" fontId="19" fillId="2" borderId="82" xfId="2" applyFont="1" applyFill="1" applyBorder="1" applyAlignment="1">
      <alignment horizontal="center" vertical="center"/>
    </xf>
    <xf numFmtId="0" fontId="19" fillId="2" borderId="82" xfId="2" applyFont="1" applyFill="1" applyBorder="1" applyAlignment="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Border="1" applyAlignment="1" applyProtection="1">
      <alignment vertical="center" wrapText="1"/>
      <protection hidden="1"/>
    </xf>
    <xf numFmtId="0" fontId="40" fillId="0" borderId="3" xfId="0" applyFont="1" applyBorder="1" applyAlignment="1" applyProtection="1">
      <alignment vertical="center" wrapText="1"/>
      <protection hidden="1"/>
    </xf>
    <xf numFmtId="0" fontId="40" fillId="0" borderId="7" xfId="0" applyFont="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36" fillId="4" borderId="79" xfId="0" applyFont="1" applyFill="1" applyBorder="1" applyAlignment="1" applyProtection="1">
      <alignment horizontal="left" vertical="center" wrapText="1"/>
      <protection locked="0"/>
    </xf>
    <xf numFmtId="0" fontId="7" fillId="4" borderId="9" xfId="0" applyFont="1" applyFill="1" applyBorder="1" applyAlignment="1" applyProtection="1">
      <alignment horizontal="left" vertical="center" wrapText="1"/>
      <protection locked="0"/>
    </xf>
    <xf numFmtId="0" fontId="36" fillId="4" borderId="9" xfId="0" applyFont="1" applyFill="1" applyBorder="1" applyAlignment="1" applyProtection="1">
      <alignment horizontal="left" vertical="center" wrapText="1"/>
      <protection locked="0"/>
    </xf>
    <xf numFmtId="0" fontId="36" fillId="4" borderId="80" xfId="0" applyFont="1" applyFill="1" applyBorder="1" applyAlignment="1" applyProtection="1">
      <alignment horizontal="left" vertical="center" wrapText="1"/>
      <protection locked="0"/>
    </xf>
    <xf numFmtId="0" fontId="46" fillId="4" borderId="3" xfId="0" applyFont="1" applyFill="1" applyBorder="1" applyAlignment="1">
      <alignment horizontal="center" vertical="center" wrapText="1"/>
    </xf>
    <xf numFmtId="0" fontId="46" fillId="4" borderId="3" xfId="0" applyFont="1" applyFill="1" applyBorder="1" applyAlignment="1">
      <alignment horizontal="left" vertical="center" wrapText="1"/>
    </xf>
    <xf numFmtId="0" fontId="43" fillId="4" borderId="3" xfId="0" applyFont="1" applyFill="1" applyBorder="1" applyAlignment="1" applyProtection="1">
      <alignment horizontal="center" vertical="center" wrapText="1"/>
      <protection locked="0"/>
    </xf>
    <xf numFmtId="0" fontId="38" fillId="4" borderId="3" xfId="0" applyFont="1" applyFill="1" applyBorder="1" applyAlignment="1" applyProtection="1">
      <alignment horizontal="center" vertical="center" wrapText="1"/>
      <protection hidden="1"/>
    </xf>
    <xf numFmtId="49" fontId="8" fillId="4" borderId="0" xfId="0" applyNumberFormat="1" applyFont="1" applyFill="1" applyAlignment="1" applyProtection="1">
      <alignment horizontal="center" vertical="top"/>
      <protection hidden="1"/>
    </xf>
    <xf numFmtId="0" fontId="56" fillId="4" borderId="0" xfId="5" applyFill="1" applyAlignment="1">
      <alignment horizontal="center" vertical="top" wrapText="1"/>
    </xf>
    <xf numFmtId="0" fontId="30" fillId="0" borderId="58" xfId="3" applyFont="1" applyBorder="1" applyAlignment="1">
      <alignment horizontal="center" vertical="center" wrapText="1"/>
    </xf>
    <xf numFmtId="0" fontId="30" fillId="0" borderId="55" xfId="3" applyFont="1" applyBorder="1" applyAlignment="1">
      <alignment horizontal="center" vertical="center" wrapText="1"/>
    </xf>
    <xf numFmtId="0" fontId="30" fillId="0" borderId="8" xfId="3" applyFont="1" applyBorder="1" applyAlignment="1">
      <alignment horizontal="center" vertical="center" wrapText="1"/>
    </xf>
    <xf numFmtId="0" fontId="26" fillId="0" borderId="59" xfId="3" quotePrefix="1" applyFont="1" applyBorder="1" applyAlignment="1">
      <alignment horizontal="left" vertical="center" wrapText="1"/>
    </xf>
    <xf numFmtId="0" fontId="26" fillId="0" borderId="0" xfId="3" quotePrefix="1" applyFont="1" applyAlignment="1">
      <alignment horizontal="left" vertical="center" wrapText="1"/>
    </xf>
    <xf numFmtId="0" fontId="26" fillId="0" borderId="60" xfId="3" quotePrefix="1" applyFont="1" applyBorder="1" applyAlignment="1">
      <alignment horizontal="left" vertical="center" wrapText="1"/>
    </xf>
    <xf numFmtId="0" fontId="31" fillId="4" borderId="59" xfId="3" quotePrefix="1" applyFont="1" applyFill="1" applyBorder="1" applyAlignment="1">
      <alignment horizontal="left" vertical="top" wrapText="1"/>
    </xf>
    <xf numFmtId="0" fontId="25" fillId="4" borderId="0" xfId="3" quotePrefix="1" applyFont="1" applyFill="1" applyAlignment="1">
      <alignment horizontal="left" vertical="top" wrapText="1"/>
    </xf>
    <xf numFmtId="0" fontId="25" fillId="4" borderId="60" xfId="3" quotePrefix="1" applyFont="1" applyFill="1" applyBorder="1" applyAlignment="1">
      <alignment horizontal="left" vertical="top" wrapText="1"/>
    </xf>
    <xf numFmtId="0" fontId="26" fillId="4" borderId="59" xfId="3" quotePrefix="1" applyFont="1" applyFill="1" applyBorder="1" applyAlignment="1">
      <alignment horizontal="left" vertical="top" wrapText="1"/>
    </xf>
    <xf numFmtId="0" fontId="26" fillId="4" borderId="0" xfId="3" quotePrefix="1" applyFont="1" applyFill="1" applyAlignment="1">
      <alignment horizontal="left" vertical="top" wrapText="1"/>
    </xf>
    <xf numFmtId="0" fontId="26" fillId="4" borderId="60" xfId="3" quotePrefix="1" applyFont="1" applyFill="1" applyBorder="1" applyAlignment="1">
      <alignment horizontal="left" vertical="top" wrapText="1"/>
    </xf>
    <xf numFmtId="0" fontId="34" fillId="16" borderId="61" xfId="4" applyFont="1" applyFill="1" applyBorder="1" applyAlignment="1">
      <alignment horizontal="center" vertical="center" wrapText="1"/>
    </xf>
    <xf numFmtId="0" fontId="34" fillId="16" borderId="62" xfId="4" applyFont="1" applyFill="1" applyBorder="1" applyAlignment="1">
      <alignment horizontal="center" vertical="center" wrapText="1"/>
    </xf>
    <xf numFmtId="0" fontId="34" fillId="16" borderId="63" xfId="3" applyFont="1" applyFill="1" applyBorder="1" applyAlignment="1">
      <alignment horizontal="center" vertical="center"/>
    </xf>
    <xf numFmtId="0" fontId="34" fillId="16" borderId="64" xfId="3" applyFont="1" applyFill="1" applyBorder="1" applyAlignment="1">
      <alignment horizontal="center" vertical="center"/>
    </xf>
    <xf numFmtId="0" fontId="34" fillId="4" borderId="75" xfId="4" applyFont="1" applyFill="1" applyBorder="1" applyAlignment="1">
      <alignment horizontal="left" vertical="center" wrapText="1" readingOrder="1"/>
    </xf>
    <xf numFmtId="0" fontId="34" fillId="4" borderId="76" xfId="4" applyFont="1" applyFill="1" applyBorder="1" applyAlignment="1">
      <alignment horizontal="left" vertical="center" wrapText="1" readingOrder="1"/>
    </xf>
    <xf numFmtId="0" fontId="35" fillId="0" borderId="65" xfId="3" applyFont="1" applyBorder="1" applyAlignment="1">
      <alignment horizontal="left" vertical="center" wrapText="1"/>
    </xf>
    <xf numFmtId="0" fontId="35" fillId="0" borderId="66" xfId="3" applyFont="1" applyBorder="1" applyAlignment="1">
      <alignment horizontal="left" vertical="center" wrapText="1"/>
    </xf>
    <xf numFmtId="0" fontId="34" fillId="4" borderId="67" xfId="0" applyFont="1" applyFill="1" applyBorder="1" applyAlignment="1">
      <alignment horizontal="left" vertical="center" wrapText="1"/>
    </xf>
    <xf numFmtId="0" fontId="34" fillId="4" borderId="68" xfId="0" applyFont="1" applyFill="1" applyBorder="1" applyAlignment="1">
      <alignment horizontal="left" vertical="center" wrapText="1"/>
    </xf>
    <xf numFmtId="0" fontId="35" fillId="0" borderId="69" xfId="3" applyFont="1" applyBorder="1" applyAlignment="1">
      <alignment horizontal="left" vertical="center" wrapText="1"/>
    </xf>
    <xf numFmtId="0" fontId="35" fillId="0" borderId="70" xfId="3" applyFont="1" applyBorder="1" applyAlignment="1">
      <alignment horizontal="left" vertical="center" wrapText="1"/>
    </xf>
    <xf numFmtId="0" fontId="35" fillId="0" borderId="69" xfId="3" applyFont="1" applyBorder="1" applyAlignment="1">
      <alignment horizontal="left" vertical="top" wrapText="1"/>
    </xf>
    <xf numFmtId="0" fontId="35" fillId="0" borderId="70" xfId="3" applyFont="1" applyBorder="1" applyAlignment="1">
      <alignment horizontal="left" vertical="top" wrapText="1"/>
    </xf>
    <xf numFmtId="0" fontId="26" fillId="4" borderId="59" xfId="3" applyFont="1" applyFill="1" applyBorder="1" applyAlignment="1">
      <alignment horizontal="left" vertical="top" wrapText="1"/>
    </xf>
    <xf numFmtId="0" fontId="26" fillId="4" borderId="0" xfId="3" applyFont="1" applyFill="1" applyAlignment="1">
      <alignment horizontal="left" vertical="top" wrapText="1"/>
    </xf>
    <xf numFmtId="0" fontId="26" fillId="4" borderId="60" xfId="3" applyFont="1" applyFill="1" applyBorder="1" applyAlignment="1">
      <alignment horizontal="left" vertical="top" wrapText="1"/>
    </xf>
    <xf numFmtId="0" fontId="26" fillId="4" borderId="0" xfId="3" applyFont="1" applyFill="1"/>
    <xf numFmtId="0" fontId="34" fillId="4" borderId="77" xfId="0" applyFont="1" applyFill="1" applyBorder="1" applyAlignment="1">
      <alignment horizontal="left" vertical="center" wrapText="1"/>
    </xf>
    <xf numFmtId="0" fontId="34" fillId="4" borderId="78" xfId="0" applyFont="1" applyFill="1" applyBorder="1" applyAlignment="1">
      <alignment horizontal="left" vertical="center" wrapText="1"/>
    </xf>
    <xf numFmtId="0" fontId="17" fillId="2" borderId="44" xfId="2" applyFont="1" applyFill="1" applyBorder="1" applyAlignment="1">
      <alignment horizontal="center" vertical="center" wrapText="1"/>
    </xf>
    <xf numFmtId="0" fontId="17" fillId="2" borderId="45" xfId="2" applyFont="1" applyFill="1" applyBorder="1" applyAlignment="1">
      <alignment horizontal="center" vertical="center" wrapText="1"/>
    </xf>
    <xf numFmtId="0" fontId="25" fillId="7" borderId="50" xfId="2" applyFont="1" applyFill="1" applyBorder="1" applyAlignment="1">
      <alignment horizontal="center" vertical="center"/>
    </xf>
    <xf numFmtId="0" fontId="25" fillId="7" borderId="51" xfId="2" applyFont="1" applyFill="1" applyBorder="1" applyAlignment="1">
      <alignment horizontal="center" vertical="center"/>
    </xf>
    <xf numFmtId="0" fontId="26" fillId="0" borderId="56" xfId="2" applyFont="1" applyBorder="1" applyAlignment="1">
      <alignment horizontal="justify" vertical="center" wrapText="1"/>
    </xf>
    <xf numFmtId="0" fontId="26" fillId="0" borderId="57" xfId="2" applyFont="1" applyBorder="1" applyAlignment="1">
      <alignment horizontal="justify" vertical="center" wrapText="1"/>
    </xf>
    <xf numFmtId="0" fontId="25" fillId="8" borderId="52" xfId="2" applyFont="1" applyFill="1" applyBorder="1" applyAlignment="1">
      <alignment horizontal="center" vertical="center" wrapText="1"/>
    </xf>
    <xf numFmtId="0" fontId="25" fillId="8" borderId="53" xfId="2" applyFont="1" applyFill="1" applyBorder="1" applyAlignment="1">
      <alignment horizontal="center" vertical="center"/>
    </xf>
    <xf numFmtId="0" fontId="26" fillId="0" borderId="53" xfId="2" applyFont="1" applyBorder="1" applyAlignment="1">
      <alignment horizontal="justify" vertical="center" wrapText="1"/>
    </xf>
    <xf numFmtId="0" fontId="26" fillId="0" borderId="54" xfId="2" applyFont="1" applyBorder="1" applyAlignment="1">
      <alignment horizontal="justify" vertical="center" wrapText="1"/>
    </xf>
    <xf numFmtId="0" fontId="37" fillId="4" borderId="71" xfId="2" applyFont="1" applyFill="1" applyBorder="1" applyAlignment="1">
      <alignment horizontal="center" vertical="center" wrapText="1"/>
    </xf>
    <xf numFmtId="0" fontId="24" fillId="4" borderId="71" xfId="2" applyFont="1" applyFill="1" applyBorder="1" applyAlignment="1">
      <alignment horizontal="center" vertical="center" wrapText="1"/>
    </xf>
    <xf numFmtId="0" fontId="17" fillId="2" borderId="46" xfId="2" applyFont="1" applyFill="1" applyBorder="1" applyAlignment="1">
      <alignment horizontal="center" vertical="center" wrapText="1"/>
    </xf>
    <xf numFmtId="0" fontId="25" fillId="14" borderId="47" xfId="2" applyFont="1" applyFill="1" applyBorder="1" applyAlignment="1">
      <alignment horizontal="center" vertical="center"/>
    </xf>
    <xf numFmtId="0" fontId="25" fillId="14" borderId="48" xfId="2" applyFont="1" applyFill="1" applyBorder="1" applyAlignment="1">
      <alignment horizontal="center" vertical="center"/>
    </xf>
    <xf numFmtId="0" fontId="26" fillId="0" borderId="48" xfId="2" applyFont="1" applyBorder="1" applyAlignment="1">
      <alignment horizontal="justify" vertical="center" wrapText="1"/>
    </xf>
    <xf numFmtId="0" fontId="26" fillId="0" borderId="49" xfId="2" applyFont="1" applyBorder="1" applyAlignment="1">
      <alignment horizontal="justify"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0" fontId="44" fillId="10" borderId="12" xfId="0"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49" fontId="45" fillId="5" borderId="0" xfId="0" applyNumberFormat="1" applyFont="1" applyFill="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3"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3" xfId="0" applyFont="1" applyFill="1" applyBorder="1" applyAlignment="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top" textRotation="90"/>
    </xf>
    <xf numFmtId="0" fontId="27" fillId="9" borderId="15" xfId="0" applyFont="1" applyFill="1" applyBorder="1" applyAlignment="1">
      <alignment horizontal="center" vertical="top" textRotation="90"/>
    </xf>
    <xf numFmtId="0" fontId="27" fillId="9" borderId="16" xfId="0" applyFont="1" applyFill="1" applyBorder="1" applyAlignment="1">
      <alignment horizontal="center" vertical="top"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19" fillId="3" borderId="32" xfId="2" applyFont="1" applyFill="1" applyBorder="1" applyAlignment="1">
      <alignment horizontal="center" vertical="center" wrapText="1"/>
    </xf>
    <xf numFmtId="0" fontId="19" fillId="3" borderId="33" xfId="2" applyFont="1" applyFill="1" applyBorder="1" applyAlignment="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lignment horizontal="center" vertical="center" wrapText="1"/>
    </xf>
    <xf numFmtId="0" fontId="19" fillId="2" borderId="83" xfId="2" applyFont="1" applyFill="1" applyBorder="1" applyAlignment="1">
      <alignment horizontal="center" vertical="center" wrapText="1"/>
    </xf>
    <xf numFmtId="0" fontId="19" fillId="2" borderId="38" xfId="2" applyFont="1" applyFill="1" applyBorder="1" applyAlignment="1">
      <alignment horizontal="center" vertical="center" wrapText="1"/>
    </xf>
    <xf numFmtId="0" fontId="19" fillId="2" borderId="39" xfId="2" applyFont="1" applyFill="1" applyBorder="1" applyAlignment="1">
      <alignment horizontal="center" vertical="center" wrapText="1"/>
    </xf>
    <xf numFmtId="0" fontId="19" fillId="2" borderId="40" xfId="2" applyFont="1" applyFill="1" applyBorder="1" applyAlignment="1">
      <alignment horizontal="center" vertical="center" wrapText="1"/>
    </xf>
    <xf numFmtId="0" fontId="19" fillId="2" borderId="42" xfId="2" applyFont="1" applyFill="1" applyBorder="1" applyAlignment="1">
      <alignment horizontal="center" vertical="center" wrapText="1"/>
    </xf>
    <xf numFmtId="0" fontId="19" fillId="2" borderId="41" xfId="2" applyFont="1" applyFill="1" applyBorder="1" applyAlignment="1">
      <alignment horizontal="center" vertical="center" wrapText="1"/>
    </xf>
    <xf numFmtId="0" fontId="19" fillId="2" borderId="43" xfId="2"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9" fillId="4" borderId="3" xfId="0" applyFont="1" applyFill="1" applyBorder="1" applyAlignment="1" applyProtection="1">
      <alignment horizontal="center" vertical="center"/>
      <protection locked="0"/>
    </xf>
    <xf numFmtId="164" fontId="59" fillId="4" borderId="22" xfId="0" applyNumberFormat="1" applyFont="1" applyFill="1" applyBorder="1" applyAlignment="1" applyProtection="1">
      <alignment horizontal="center" vertical="center"/>
      <protection locked="0"/>
    </xf>
    <xf numFmtId="164" fontId="59" fillId="4" borderId="23" xfId="0" applyNumberFormat="1" applyFont="1" applyFill="1" applyBorder="1" applyAlignment="1" applyProtection="1">
      <alignment horizontal="center" vertical="center"/>
      <protection locked="0"/>
    </xf>
    <xf numFmtId="164" fontId="59"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7" fillId="4" borderId="2" xfId="0" applyNumberFormat="1" applyFont="1" applyFill="1" applyBorder="1" applyAlignment="1" applyProtection="1">
      <alignment horizontal="left" vertical="top" wrapText="1"/>
      <protection locked="0"/>
    </xf>
    <xf numFmtId="49" fontId="57" fillId="4" borderId="84" xfId="0" applyNumberFormat="1" applyFont="1" applyFill="1" applyBorder="1" applyAlignment="1" applyProtection="1">
      <alignment horizontal="left" vertical="top" wrapText="1"/>
      <protection locked="0"/>
    </xf>
    <xf numFmtId="0" fontId="57" fillId="4" borderId="3" xfId="0" applyFont="1" applyFill="1" applyBorder="1" applyAlignment="1" applyProtection="1">
      <alignment horizontal="left" vertical="top" wrapText="1"/>
      <protection locked="0"/>
    </xf>
    <xf numFmtId="0" fontId="57" fillId="4" borderId="85" xfId="0" applyFont="1" applyFill="1" applyBorder="1" applyAlignment="1" applyProtection="1">
      <alignment horizontal="left" vertical="top" wrapText="1"/>
      <protection locked="0"/>
    </xf>
    <xf numFmtId="0" fontId="57" fillId="4" borderId="4" xfId="0" applyFont="1" applyFill="1" applyBorder="1" applyAlignment="1" applyProtection="1">
      <alignment horizontal="left" vertical="top" wrapText="1"/>
      <protection locked="0"/>
    </xf>
    <xf numFmtId="0" fontId="57" fillId="4" borderId="86" xfId="0" applyFont="1" applyFill="1" applyBorder="1" applyAlignment="1" applyProtection="1">
      <alignment horizontal="left" vertical="top" wrapText="1"/>
      <protection locked="0"/>
    </xf>
    <xf numFmtId="0" fontId="41" fillId="0" borderId="24" xfId="0" applyFont="1" applyBorder="1" applyAlignment="1" applyProtection="1">
      <alignment horizontal="left" vertical="top" wrapText="1"/>
      <protection locked="0"/>
    </xf>
    <xf numFmtId="0" fontId="57" fillId="0" borderId="1" xfId="0" applyFont="1" applyBorder="1" applyAlignment="1" applyProtection="1">
      <alignment horizontal="left" vertical="top"/>
      <protection locked="0"/>
    </xf>
    <xf numFmtId="0" fontId="57" fillId="0" borderId="25" xfId="0" applyFont="1" applyBorder="1" applyAlignment="1" applyProtection="1">
      <alignment horizontal="left" vertical="top"/>
      <protection locked="0"/>
    </xf>
    <xf numFmtId="0" fontId="41" fillId="0" borderId="1" xfId="0" applyFont="1" applyBorder="1" applyAlignment="1" applyProtection="1">
      <alignment horizontal="left" vertical="top"/>
      <protection locked="0"/>
    </xf>
    <xf numFmtId="0" fontId="41" fillId="0" borderId="25" xfId="0" applyFont="1" applyBorder="1" applyAlignment="1" applyProtection="1">
      <alignment horizontal="left" vertical="top"/>
      <protection locked="0"/>
    </xf>
    <xf numFmtId="0" fontId="57" fillId="0" borderId="24" xfId="0" applyFont="1" applyBorder="1" applyAlignment="1" applyProtection="1">
      <alignment horizontal="left" vertical="top" wrapText="1"/>
      <protection locked="0"/>
    </xf>
    <xf numFmtId="0" fontId="52" fillId="12" borderId="0" xfId="0" applyFont="1" applyFill="1" applyAlignment="1">
      <alignment horizontal="center" vertical="center" wrapText="1"/>
    </xf>
    <xf numFmtId="0" fontId="58" fillId="0" borderId="24" xfId="0" applyFont="1" applyBorder="1" applyAlignment="1" applyProtection="1">
      <alignment horizontal="left" vertical="top" wrapText="1"/>
      <protection locked="0"/>
    </xf>
    <xf numFmtId="0" fontId="58" fillId="0" borderId="1" xfId="0" applyFont="1" applyBorder="1" applyAlignment="1" applyProtection="1">
      <alignment horizontal="left" vertical="top" wrapText="1"/>
      <protection locked="0"/>
    </xf>
    <xf numFmtId="0" fontId="58" fillId="0" borderId="25" xfId="0" applyFont="1" applyBorder="1" applyAlignment="1" applyProtection="1">
      <alignment horizontal="left" vertical="top" wrapText="1"/>
      <protection locked="0"/>
    </xf>
    <xf numFmtId="0" fontId="0" fillId="0" borderId="73" xfId="0" applyBorder="1" applyAlignment="1">
      <alignment horizontal="center"/>
    </xf>
    <xf numFmtId="0" fontId="0" fillId="0" borderId="1" xfId="0" applyBorder="1" applyAlignment="1">
      <alignment horizontal="center"/>
    </xf>
  </cellXfs>
  <cellStyles count="6">
    <cellStyle name="Hipervínculo" xfId="5" builtinId="8"/>
    <cellStyle name="Normal" xfId="0" builtinId="0"/>
    <cellStyle name="Normal - Style1 2" xfId="3" xr:uid="{00000000-0005-0000-0000-000002000000}"/>
    <cellStyle name="Normal 2" xfId="2" xr:uid="{00000000-0005-0000-0000-000003000000}"/>
    <cellStyle name="Normal 2 2" xfId="4" xr:uid="{00000000-0005-0000-0000-000004000000}"/>
    <cellStyle name="Porcentaje" xfId="1" builtinId="5"/>
  </cellStyles>
  <dxfs count="20">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1398359</xdr:colOff>
      <xdr:row>0</xdr:row>
      <xdr:rowOff>71693</xdr:rowOff>
    </xdr:from>
    <xdr:to>
      <xdr:col>5</xdr:col>
      <xdr:colOff>1934831</xdr:colOff>
      <xdr:row>9</xdr:row>
      <xdr:rowOff>122903</xdr:rowOff>
    </xdr:to>
    <xdr:pic>
      <xdr:nvPicPr>
        <xdr:cNvPr id="2" name="Imagen 1">
          <a:extLst>
            <a:ext uri="{FF2B5EF4-FFF2-40B4-BE49-F238E27FC236}">
              <a16:creationId xmlns:a16="http://schemas.microsoft.com/office/drawing/2014/main" id="{00000000-0008-0000-0600-000003000000}"/>
            </a:ext>
          </a:extLst>
        </xdr:cNvPr>
        <xdr:cNvPicPr>
          <a:picLocks noChangeAspect="1"/>
        </xdr:cNvPicPr>
      </xdr:nvPicPr>
      <xdr:blipFill rotWithShape="1">
        <a:blip xmlns:r="http://schemas.openxmlformats.org/officeDocument/2006/relationships" r:embed="rId1" cstate="print"/>
        <a:srcRect t="3886" b="11301"/>
        <a:stretch/>
      </xdr:blipFill>
      <xdr:spPr>
        <a:xfrm>
          <a:off x="3723278" y="71693"/>
          <a:ext cx="3670504" cy="1894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sis de Resultados"/>
      <sheetName val="Instructivo"/>
      <sheetName val="Definiciones"/>
      <sheetName val="Ambiente de Control"/>
      <sheetName val="Evaluación de riesgos"/>
      <sheetName val="Actividades de control"/>
      <sheetName val="Info y Comunicación"/>
      <sheetName val="Actividades de Monitoreo"/>
      <sheetName val="Conclusiones"/>
      <sheetName val="Hoja1"/>
      <sheetName val="Hoja4"/>
      <sheetName val="Hoja2"/>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esehospitaldenazareth.gov.co/index.php/plan-de-bienestar-social-capacitacion-e-incentivos/plan-de-bienestar-social-capacitacin-e-incentivos-202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
  <sheetViews>
    <sheetView topLeftCell="C14" zoomScale="148" zoomScaleNormal="148" workbookViewId="0">
      <selection activeCell="E18" sqref="E18:F18"/>
    </sheetView>
  </sheetViews>
  <sheetFormatPr baseColWidth="10" defaultColWidth="0" defaultRowHeight="12.75" zeroHeight="1" x14ac:dyDescent="0.2"/>
  <cols>
    <col min="1" max="1" width="3.85546875" style="42" customWidth="1"/>
    <col min="2" max="2" width="15.28515625" style="42" customWidth="1"/>
    <col min="3" max="3" width="17.28515625" style="42" customWidth="1"/>
    <col min="4" max="4" width="28.5703125" style="42" customWidth="1"/>
    <col min="5" max="5" width="12.85546875" style="42" customWidth="1"/>
    <col min="6" max="6" width="47.140625" style="42" customWidth="1"/>
    <col min="7" max="7" width="21.42578125" style="42" customWidth="1"/>
    <col min="8" max="8" width="6.5703125" style="42" customWidth="1"/>
    <col min="9" max="9" width="2.5703125" style="42" customWidth="1"/>
    <col min="10" max="16384" width="11.42578125" style="42" hidden="1"/>
  </cols>
  <sheetData>
    <row r="1" spans="2:8" ht="13.5" thickBot="1" x14ac:dyDescent="0.25"/>
    <row r="2" spans="2:8" ht="73.5" customHeight="1" x14ac:dyDescent="0.2">
      <c r="B2" s="161" t="s">
        <v>0</v>
      </c>
      <c r="C2" s="162"/>
      <c r="D2" s="162"/>
      <c r="E2" s="162"/>
      <c r="F2" s="162"/>
      <c r="G2" s="162"/>
      <c r="H2" s="163"/>
    </row>
    <row r="3" spans="2:8" ht="65.25" customHeight="1" x14ac:dyDescent="0.2">
      <c r="B3" s="164" t="s">
        <v>1</v>
      </c>
      <c r="C3" s="165"/>
      <c r="D3" s="165"/>
      <c r="E3" s="165"/>
      <c r="F3" s="165"/>
      <c r="G3" s="165"/>
      <c r="H3" s="166"/>
    </row>
    <row r="4" spans="2:8" ht="82.5" customHeight="1" x14ac:dyDescent="0.2">
      <c r="B4" s="164"/>
      <c r="C4" s="165"/>
      <c r="D4" s="165"/>
      <c r="E4" s="165"/>
      <c r="F4" s="165"/>
      <c r="G4" s="165"/>
      <c r="H4" s="166"/>
    </row>
    <row r="5" spans="2:8" ht="21.75" customHeight="1" x14ac:dyDescent="0.2">
      <c r="B5" s="167" t="s">
        <v>2</v>
      </c>
      <c r="C5" s="168"/>
      <c r="D5" s="168"/>
      <c r="E5" s="168"/>
      <c r="F5" s="168"/>
      <c r="G5" s="168"/>
      <c r="H5" s="169"/>
    </row>
    <row r="6" spans="2:8" ht="42" customHeight="1" x14ac:dyDescent="0.2">
      <c r="B6" s="170" t="s">
        <v>3</v>
      </c>
      <c r="C6" s="171"/>
      <c r="D6" s="171"/>
      <c r="E6" s="171"/>
      <c r="F6" s="171"/>
      <c r="G6" s="171"/>
      <c r="H6" s="172"/>
    </row>
    <row r="7" spans="2:8" ht="14.25" customHeight="1" x14ac:dyDescent="0.2">
      <c r="B7" s="170"/>
      <c r="C7" s="171"/>
      <c r="D7" s="171"/>
      <c r="E7" s="171"/>
      <c r="F7" s="171"/>
      <c r="G7" s="171"/>
      <c r="H7" s="172"/>
    </row>
    <row r="8" spans="2:8" ht="12.75" customHeight="1" thickBot="1" x14ac:dyDescent="0.25">
      <c r="B8" s="54"/>
      <c r="C8" s="48"/>
      <c r="D8" s="63"/>
      <c r="E8" s="64"/>
      <c r="F8" s="64"/>
      <c r="G8" s="62"/>
      <c r="H8" s="56"/>
    </row>
    <row r="9" spans="2:8" ht="21" customHeight="1" thickTop="1" x14ac:dyDescent="0.2">
      <c r="B9" s="54"/>
      <c r="C9" s="173" t="s">
        <v>4</v>
      </c>
      <c r="D9" s="174"/>
      <c r="E9" s="175" t="s">
        <v>5</v>
      </c>
      <c r="F9" s="176"/>
      <c r="G9" s="48"/>
      <c r="H9" s="56"/>
    </row>
    <row r="10" spans="2:8" ht="37.5" customHeight="1" x14ac:dyDescent="0.2">
      <c r="B10" s="54"/>
      <c r="C10" s="177" t="s">
        <v>6</v>
      </c>
      <c r="D10" s="178"/>
      <c r="E10" s="179" t="s">
        <v>7</v>
      </c>
      <c r="F10" s="180"/>
      <c r="G10" s="48"/>
      <c r="H10" s="56"/>
    </row>
    <row r="11" spans="2:8" ht="39.75" customHeight="1" x14ac:dyDescent="0.2">
      <c r="B11" s="54"/>
      <c r="C11" s="181" t="s">
        <v>8</v>
      </c>
      <c r="D11" s="182"/>
      <c r="E11" s="183" t="s">
        <v>9</v>
      </c>
      <c r="F11" s="184"/>
      <c r="G11" s="48"/>
      <c r="H11" s="56"/>
    </row>
    <row r="12" spans="2:8" ht="59.25" customHeight="1" x14ac:dyDescent="0.2">
      <c r="B12" s="54"/>
      <c r="C12" s="181" t="s">
        <v>10</v>
      </c>
      <c r="D12" s="182"/>
      <c r="E12" s="185" t="s">
        <v>11</v>
      </c>
      <c r="F12" s="186"/>
      <c r="G12" s="48"/>
      <c r="H12" s="56"/>
    </row>
    <row r="13" spans="2:8" ht="33.75" customHeight="1" x14ac:dyDescent="0.2">
      <c r="B13" s="54"/>
      <c r="C13" s="191" t="s">
        <v>12</v>
      </c>
      <c r="D13" s="192"/>
      <c r="E13" s="183" t="s">
        <v>13</v>
      </c>
      <c r="F13" s="184"/>
      <c r="G13" s="48"/>
      <c r="H13" s="56"/>
    </row>
    <row r="14" spans="2:8" ht="19.5" customHeight="1" x14ac:dyDescent="0.2">
      <c r="B14" s="54"/>
      <c r="C14" s="60"/>
      <c r="D14" s="60"/>
      <c r="E14" s="61"/>
      <c r="F14" s="61"/>
      <c r="G14" s="48"/>
      <c r="H14" s="56"/>
    </row>
    <row r="15" spans="2:8" ht="37.5" customHeight="1" thickBot="1" x14ac:dyDescent="0.25">
      <c r="B15" s="187" t="s">
        <v>14</v>
      </c>
      <c r="C15" s="188"/>
      <c r="D15" s="188"/>
      <c r="E15" s="188"/>
      <c r="F15" s="188"/>
      <c r="G15" s="188"/>
      <c r="H15" s="189"/>
    </row>
    <row r="16" spans="2:8" ht="27.75" customHeight="1" thickBot="1" x14ac:dyDescent="0.25">
      <c r="B16" s="54"/>
      <c r="C16" s="193" t="s">
        <v>15</v>
      </c>
      <c r="D16" s="194"/>
      <c r="E16" s="194" t="s">
        <v>16</v>
      </c>
      <c r="F16" s="205"/>
      <c r="G16" s="48"/>
      <c r="H16" s="56"/>
    </row>
    <row r="17" spans="2:8" ht="27.75" customHeight="1" x14ac:dyDescent="0.2">
      <c r="B17" s="54"/>
      <c r="C17" s="206" t="s">
        <v>17</v>
      </c>
      <c r="D17" s="207"/>
      <c r="E17" s="208" t="s">
        <v>18</v>
      </c>
      <c r="F17" s="209"/>
      <c r="G17" s="93"/>
      <c r="H17" s="56"/>
    </row>
    <row r="18" spans="2:8" ht="41.25" customHeight="1" x14ac:dyDescent="0.2">
      <c r="B18" s="54"/>
      <c r="C18" s="195" t="s">
        <v>19</v>
      </c>
      <c r="D18" s="196"/>
      <c r="E18" s="197" t="s">
        <v>20</v>
      </c>
      <c r="F18" s="198"/>
      <c r="G18" s="94"/>
      <c r="H18" s="56"/>
    </row>
    <row r="19" spans="2:8" ht="37.5" customHeight="1" thickBot="1" x14ac:dyDescent="0.25">
      <c r="B19" s="54"/>
      <c r="C19" s="199" t="s">
        <v>21</v>
      </c>
      <c r="D19" s="200"/>
      <c r="E19" s="201" t="s">
        <v>22</v>
      </c>
      <c r="F19" s="202"/>
      <c r="G19" s="94"/>
      <c r="H19" s="56"/>
    </row>
    <row r="20" spans="2:8" ht="11.25" customHeight="1" x14ac:dyDescent="0.2">
      <c r="B20" s="49"/>
      <c r="C20" s="50"/>
      <c r="D20" s="50"/>
      <c r="E20" s="50"/>
      <c r="F20" s="50"/>
      <c r="G20" s="50"/>
      <c r="H20" s="51"/>
    </row>
    <row r="21" spans="2:8" ht="14.25" customHeight="1" x14ac:dyDescent="0.2">
      <c r="B21" s="52"/>
      <c r="C21" s="203"/>
      <c r="D21" s="203"/>
      <c r="E21" s="204"/>
      <c r="F21" s="204"/>
      <c r="G21" s="204"/>
      <c r="H21" s="53"/>
    </row>
    <row r="22" spans="2:8" ht="36" customHeight="1" x14ac:dyDescent="0.2">
      <c r="B22" s="187" t="s">
        <v>23</v>
      </c>
      <c r="C22" s="188"/>
      <c r="D22" s="188"/>
      <c r="E22" s="188"/>
      <c r="F22" s="188"/>
      <c r="G22" s="188"/>
      <c r="H22" s="189"/>
    </row>
    <row r="23" spans="2:8" ht="13.5" x14ac:dyDescent="0.2">
      <c r="B23" s="54"/>
      <c r="C23" s="55"/>
      <c r="D23" s="55"/>
      <c r="E23" s="190"/>
      <c r="F23" s="190"/>
      <c r="G23" s="48"/>
      <c r="H23" s="56"/>
    </row>
    <row r="24" spans="2:8" ht="13.5" thickBot="1" x14ac:dyDescent="0.25">
      <c r="B24" s="57"/>
      <c r="C24" s="58"/>
      <c r="D24" s="58"/>
      <c r="E24" s="58"/>
      <c r="F24" s="58"/>
      <c r="G24" s="58"/>
      <c r="H24" s="59"/>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sheet="1" objects="1" scenarios="1"/>
  <mergeCells count="27">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 ref="C10:D10"/>
    <mergeCell ref="E10:F10"/>
    <mergeCell ref="C11:D11"/>
    <mergeCell ref="E11:F11"/>
    <mergeCell ref="C12:D12"/>
    <mergeCell ref="E12:F12"/>
    <mergeCell ref="B2:H2"/>
    <mergeCell ref="B3:H4"/>
    <mergeCell ref="B5:H5"/>
    <mergeCell ref="B6:H7"/>
    <mergeCell ref="C9:D9"/>
    <mergeCell ref="E9:F9"/>
  </mergeCells>
  <pageMargins left="0.70866141732283472" right="0.70866141732283472" top="0.74803149606299213" bottom="0.74803149606299213" header="0.31496062992125984" footer="0.31496062992125984"/>
  <pageSetup paperSize="5"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6"/>
  <sheetViews>
    <sheetView showGridLines="0" topLeftCell="E39" zoomScale="112" zoomScaleNormal="112" workbookViewId="0">
      <selection activeCell="H49" sqref="H49"/>
    </sheetView>
  </sheetViews>
  <sheetFormatPr baseColWidth="10" defaultColWidth="11.42578125" defaultRowHeight="16.5" x14ac:dyDescent="0.3"/>
  <cols>
    <col min="1" max="1" width="3" style="44" hidden="1" customWidth="1"/>
    <col min="2" max="2" width="9.42578125" style="44" customWidth="1"/>
    <col min="3" max="3" width="17.28515625" style="44" customWidth="1"/>
    <col min="4" max="4" width="36.85546875" style="44" customWidth="1"/>
    <col min="5" max="5" width="10.140625" style="66" customWidth="1"/>
    <col min="6" max="6" width="44.5703125" style="66" customWidth="1"/>
    <col min="7" max="7" width="15.42578125" style="44" customWidth="1"/>
    <col min="8" max="8" width="54.42578125" style="44" customWidth="1"/>
    <col min="9" max="9" width="43" style="44" customWidth="1"/>
    <col min="10" max="12" width="11.42578125" style="69" customWidth="1"/>
    <col min="13" max="24" width="11.42578125" style="44" customWidth="1"/>
    <col min="25" max="16384" width="11.42578125" style="44"/>
  </cols>
  <sheetData>
    <row r="1" spans="1:32" x14ac:dyDescent="0.3">
      <c r="B1" s="43"/>
      <c r="C1" s="43"/>
      <c r="D1" s="43"/>
      <c r="E1" s="65"/>
      <c r="F1" s="65"/>
      <c r="G1" s="43"/>
      <c r="H1" s="43"/>
      <c r="I1" s="43"/>
      <c r="J1" s="67"/>
      <c r="K1" s="67"/>
      <c r="L1" s="67"/>
      <c r="M1" s="43"/>
      <c r="N1" s="43"/>
      <c r="O1" s="43"/>
      <c r="P1" s="43"/>
      <c r="Q1" s="43"/>
      <c r="R1" s="43"/>
      <c r="S1" s="43"/>
      <c r="T1" s="43"/>
      <c r="U1" s="43"/>
      <c r="V1" s="43"/>
      <c r="W1" s="43"/>
      <c r="X1" s="43"/>
    </row>
    <row r="2" spans="1:32" x14ac:dyDescent="0.3">
      <c r="B2" s="43"/>
      <c r="C2" s="43"/>
      <c r="D2" s="43"/>
      <c r="E2" s="65"/>
      <c r="F2" s="65"/>
      <c r="G2" s="43"/>
      <c r="H2" s="43"/>
      <c r="I2" s="43"/>
      <c r="J2" s="67"/>
      <c r="K2" s="67"/>
      <c r="L2" s="67"/>
      <c r="M2" s="43"/>
      <c r="N2" s="43"/>
      <c r="O2" s="43"/>
      <c r="P2" s="43"/>
      <c r="Q2" s="43"/>
      <c r="R2" s="43"/>
      <c r="S2" s="43"/>
      <c r="T2" s="43"/>
      <c r="U2" s="43"/>
      <c r="V2" s="43"/>
      <c r="W2" s="43"/>
      <c r="X2" s="43"/>
    </row>
    <row r="3" spans="1:32" x14ac:dyDescent="0.3">
      <c r="B3" s="43"/>
      <c r="C3" s="43"/>
      <c r="D3" s="43"/>
      <c r="E3" s="65"/>
      <c r="F3" s="65"/>
      <c r="G3" s="43"/>
      <c r="H3" s="43"/>
      <c r="I3" s="43"/>
      <c r="J3" s="67"/>
      <c r="K3" s="67"/>
      <c r="L3" s="67"/>
      <c r="M3" s="43"/>
      <c r="N3" s="43"/>
      <c r="O3" s="43"/>
      <c r="P3" s="43"/>
      <c r="Q3" s="43"/>
      <c r="R3" s="43"/>
      <c r="S3" s="43"/>
      <c r="T3" s="43"/>
      <c r="U3" s="43"/>
      <c r="V3" s="43"/>
      <c r="W3" s="43"/>
      <c r="X3" s="43"/>
    </row>
    <row r="4" spans="1:32" x14ac:dyDescent="0.3">
      <c r="B4" s="43"/>
      <c r="C4" s="43"/>
      <c r="D4" s="43"/>
      <c r="E4" s="65"/>
      <c r="F4" s="65"/>
      <c r="G4" s="43"/>
      <c r="H4" s="43"/>
      <c r="I4" s="43"/>
      <c r="J4" s="67"/>
      <c r="K4" s="67"/>
      <c r="L4" s="67"/>
      <c r="M4" s="43"/>
      <c r="N4" s="43"/>
      <c r="O4" s="43"/>
      <c r="P4" s="43"/>
      <c r="Q4" s="43"/>
      <c r="R4" s="43"/>
      <c r="S4" s="43"/>
      <c r="T4" s="43"/>
      <c r="U4" s="43"/>
      <c r="V4" s="43"/>
      <c r="W4" s="43"/>
      <c r="X4" s="43"/>
    </row>
    <row r="5" spans="1:32" x14ac:dyDescent="0.3">
      <c r="B5" s="43"/>
      <c r="C5" s="43"/>
      <c r="D5" s="43"/>
      <c r="E5" s="65"/>
      <c r="F5" s="65"/>
      <c r="G5" s="43"/>
      <c r="H5" s="43"/>
      <c r="I5" s="43"/>
      <c r="J5" s="67"/>
      <c r="K5" s="67"/>
      <c r="L5" s="67"/>
      <c r="M5" s="43"/>
      <c r="N5" s="43"/>
      <c r="O5" s="43"/>
      <c r="P5" s="43"/>
      <c r="Q5" s="43"/>
      <c r="R5" s="43"/>
      <c r="S5" s="43"/>
      <c r="T5" s="43"/>
      <c r="U5" s="43"/>
      <c r="V5" s="43"/>
      <c r="W5" s="43"/>
      <c r="X5" s="43"/>
    </row>
    <row r="6" spans="1:32" x14ac:dyDescent="0.3">
      <c r="B6" s="43"/>
      <c r="C6" s="43"/>
      <c r="D6" s="43"/>
      <c r="E6" s="65"/>
      <c r="F6" s="65"/>
      <c r="G6" s="43"/>
      <c r="H6" s="43"/>
      <c r="I6" s="43"/>
      <c r="J6" s="67"/>
      <c r="K6" s="67"/>
      <c r="L6" s="67"/>
      <c r="M6" s="43"/>
      <c r="N6" s="43"/>
      <c r="O6" s="43"/>
      <c r="P6" s="43"/>
      <c r="Q6" s="43"/>
      <c r="R6" s="43"/>
      <c r="S6" s="43"/>
      <c r="T6" s="43"/>
      <c r="U6" s="43"/>
      <c r="V6" s="43"/>
      <c r="W6" s="43"/>
      <c r="X6" s="43"/>
    </row>
    <row r="7" spans="1:32" x14ac:dyDescent="0.3">
      <c r="B7" s="43"/>
      <c r="C7" s="43"/>
      <c r="D7" s="43"/>
      <c r="E7" s="65"/>
      <c r="F7" s="65"/>
      <c r="G7" s="43"/>
      <c r="H7" s="43"/>
      <c r="I7" s="43"/>
      <c r="J7" s="67"/>
      <c r="K7" s="67"/>
      <c r="L7" s="67"/>
      <c r="M7" s="43"/>
      <c r="N7" s="43"/>
      <c r="O7" s="43"/>
      <c r="P7" s="43"/>
      <c r="Q7" s="43"/>
      <c r="R7" s="43"/>
      <c r="S7" s="43"/>
      <c r="T7" s="43"/>
      <c r="U7" s="43"/>
      <c r="V7" s="43"/>
      <c r="W7" s="43"/>
      <c r="X7" s="43"/>
    </row>
    <row r="8" spans="1:32" x14ac:dyDescent="0.3">
      <c r="B8" s="43"/>
      <c r="C8" s="43"/>
      <c r="D8" s="43"/>
      <c r="E8" s="65"/>
      <c r="F8" s="65"/>
      <c r="G8" s="43"/>
      <c r="H8" s="43"/>
      <c r="I8" s="43"/>
      <c r="J8" s="67"/>
      <c r="K8" s="67"/>
      <c r="L8" s="67"/>
      <c r="M8" s="43"/>
      <c r="N8" s="43"/>
      <c r="O8" s="43"/>
      <c r="P8" s="43"/>
      <c r="Q8" s="43"/>
      <c r="R8" s="43"/>
      <c r="S8" s="43"/>
      <c r="T8" s="43"/>
      <c r="U8" s="43"/>
      <c r="V8" s="43"/>
      <c r="W8" s="43"/>
      <c r="X8" s="43"/>
    </row>
    <row r="9" spans="1:32" x14ac:dyDescent="0.3">
      <c r="B9" s="43"/>
      <c r="C9" s="43"/>
      <c r="D9" s="43"/>
      <c r="E9" s="65"/>
      <c r="F9" s="65"/>
      <c r="G9" s="43"/>
      <c r="H9" s="43"/>
      <c r="I9" s="43"/>
      <c r="J9" s="67"/>
      <c r="K9" s="67"/>
      <c r="L9" s="67"/>
      <c r="M9" s="43"/>
      <c r="N9" s="43"/>
      <c r="O9" s="43"/>
      <c r="P9" s="43"/>
      <c r="Q9" s="43"/>
      <c r="R9" s="43"/>
      <c r="S9" s="43"/>
      <c r="T9" s="43"/>
      <c r="U9" s="43"/>
      <c r="V9" s="43"/>
      <c r="W9" s="43"/>
      <c r="X9" s="43"/>
    </row>
    <row r="10" spans="1:32" x14ac:dyDescent="0.3">
      <c r="B10" s="43"/>
      <c r="C10" s="43"/>
      <c r="D10" s="43"/>
      <c r="E10" s="65"/>
      <c r="F10" s="65"/>
      <c r="G10" s="43"/>
      <c r="H10" s="43"/>
      <c r="I10" s="43"/>
      <c r="J10" s="67"/>
      <c r="K10" s="67"/>
      <c r="L10" s="67"/>
      <c r="M10" s="43"/>
      <c r="N10" s="43"/>
      <c r="O10" s="43"/>
      <c r="P10" s="43"/>
      <c r="Q10" s="43"/>
      <c r="R10" s="43"/>
      <c r="S10" s="43"/>
      <c r="T10" s="43"/>
      <c r="U10" s="43"/>
      <c r="V10" s="43"/>
      <c r="W10" s="43"/>
      <c r="X10" s="43"/>
    </row>
    <row r="11" spans="1:32" s="46" customFormat="1" ht="49.5" customHeight="1" x14ac:dyDescent="0.25">
      <c r="B11" s="241" t="s">
        <v>24</v>
      </c>
      <c r="C11" s="241"/>
      <c r="D11" s="241"/>
      <c r="E11" s="241"/>
      <c r="F11" s="241"/>
      <c r="G11" s="241"/>
      <c r="H11" s="241"/>
      <c r="I11" s="241"/>
      <c r="J11" s="68"/>
      <c r="K11" s="68"/>
      <c r="L11" s="68"/>
      <c r="M11" s="45"/>
      <c r="N11" s="45"/>
      <c r="O11" s="45"/>
      <c r="P11" s="45"/>
      <c r="Q11" s="45"/>
      <c r="R11" s="45"/>
      <c r="S11" s="45"/>
      <c r="T11" s="45"/>
      <c r="U11" s="45"/>
      <c r="V11" s="45"/>
      <c r="W11" s="45"/>
      <c r="X11" s="45"/>
      <c r="Y11" s="45"/>
      <c r="Z11" s="45"/>
      <c r="AA11" s="45"/>
      <c r="AB11" s="45"/>
      <c r="AC11" s="45"/>
      <c r="AD11" s="45"/>
      <c r="AE11" s="45"/>
      <c r="AF11" s="45"/>
    </row>
    <row r="12" spans="1:32" s="46" customFormat="1" ht="123.75" customHeight="1" thickBot="1" x14ac:dyDescent="0.3">
      <c r="B12" s="71" t="s">
        <v>25</v>
      </c>
      <c r="C12" s="71" t="s">
        <v>6</v>
      </c>
      <c r="D12" s="72" t="s">
        <v>8</v>
      </c>
      <c r="E12" s="73" t="s">
        <v>26</v>
      </c>
      <c r="F12" s="73" t="s">
        <v>27</v>
      </c>
      <c r="G12" s="73" t="s">
        <v>28</v>
      </c>
      <c r="H12" s="74" t="s">
        <v>29</v>
      </c>
      <c r="I12" s="73" t="s">
        <v>30</v>
      </c>
      <c r="J12" s="68"/>
      <c r="K12" s="68"/>
      <c r="L12" s="68"/>
      <c r="M12" s="45"/>
      <c r="N12" s="45"/>
      <c r="O12" s="45"/>
      <c r="P12" s="45"/>
      <c r="Q12" s="45"/>
      <c r="R12" s="45"/>
      <c r="S12" s="45"/>
      <c r="T12" s="45"/>
      <c r="U12" s="45"/>
      <c r="V12" s="45"/>
      <c r="W12" s="45"/>
      <c r="X12" s="45"/>
      <c r="Y12" s="45"/>
      <c r="Z12" s="45"/>
      <c r="AA12" s="45"/>
      <c r="AB12" s="45"/>
      <c r="AC12" s="45"/>
      <c r="AD12" s="45"/>
      <c r="AE12" s="45"/>
      <c r="AF12" s="45"/>
    </row>
    <row r="13" spans="1:32" s="46" customFormat="1" ht="49.5" x14ac:dyDescent="0.25">
      <c r="A13" s="95" t="str">
        <f>1&amp;E13</f>
        <v>1a</v>
      </c>
      <c r="B13" s="252" t="s">
        <v>31</v>
      </c>
      <c r="C13" s="216" t="s">
        <v>32</v>
      </c>
      <c r="D13" s="249" t="s">
        <v>33</v>
      </c>
      <c r="E13" s="75" t="s">
        <v>34</v>
      </c>
      <c r="F13" s="76" t="s">
        <v>35</v>
      </c>
      <c r="G13" s="103" t="s">
        <v>39</v>
      </c>
      <c r="H13" s="151" t="s">
        <v>200</v>
      </c>
      <c r="I13" s="96" t="str">
        <f>+IF(G13="Si","Mantenimiento del control",IF(G13="En proceso","Oportunidad de mejora","Deficiencia de control"))</f>
        <v>Mantenimiento del control</v>
      </c>
      <c r="J13" s="97">
        <f t="shared" ref="J13:J24" si="0">+IF(G13="Si",20,IF(G13="En proceso",10,0))</f>
        <v>20</v>
      </c>
      <c r="K13" s="97">
        <v>0.123</v>
      </c>
      <c r="L13" s="97">
        <f>+J13+K13</f>
        <v>20.123000000000001</v>
      </c>
    </row>
    <row r="14" spans="1:32" s="46" customFormat="1" ht="63" x14ac:dyDescent="0.25">
      <c r="A14" s="95" t="str">
        <f t="shared" ref="A14:A24" si="1">1&amp;E14</f>
        <v>1b</v>
      </c>
      <c r="B14" s="253"/>
      <c r="C14" s="217"/>
      <c r="D14" s="250"/>
      <c r="E14" s="77" t="s">
        <v>37</v>
      </c>
      <c r="F14" s="78" t="s">
        <v>38</v>
      </c>
      <c r="G14" s="105" t="s">
        <v>39</v>
      </c>
      <c r="H14" s="152" t="s">
        <v>191</v>
      </c>
      <c r="I14" s="98" t="str">
        <f t="shared" ref="I14:I56" si="2">+IF(G14="Si","Mantenimiento del control",IF(G14="En proceso","Oportunidad de mejora","Deficiencia de control"))</f>
        <v>Mantenimiento del control</v>
      </c>
      <c r="J14" s="99">
        <f t="shared" si="0"/>
        <v>20</v>
      </c>
      <c r="K14" s="97">
        <v>0.1234</v>
      </c>
      <c r="L14" s="97">
        <f t="shared" ref="L14:L56" si="3">+J14+K14</f>
        <v>20.1234</v>
      </c>
    </row>
    <row r="15" spans="1:32" s="46" customFormat="1" ht="99" x14ac:dyDescent="0.25">
      <c r="A15" s="95" t="str">
        <f t="shared" si="1"/>
        <v>1c</v>
      </c>
      <c r="B15" s="253"/>
      <c r="C15" s="217"/>
      <c r="D15" s="250"/>
      <c r="E15" s="77" t="s">
        <v>40</v>
      </c>
      <c r="F15" s="79" t="s">
        <v>41</v>
      </c>
      <c r="G15" s="105" t="s">
        <v>39</v>
      </c>
      <c r="H15" s="153" t="s">
        <v>233</v>
      </c>
      <c r="I15" s="100" t="str">
        <f t="shared" si="2"/>
        <v>Mantenimiento del control</v>
      </c>
      <c r="J15" s="99">
        <f t="shared" si="0"/>
        <v>20</v>
      </c>
      <c r="K15" s="97">
        <v>0.12345</v>
      </c>
      <c r="L15" s="97">
        <f t="shared" si="3"/>
        <v>20.123449999999998</v>
      </c>
    </row>
    <row r="16" spans="1:32" s="46" customFormat="1" ht="66" x14ac:dyDescent="0.25">
      <c r="A16" s="95" t="str">
        <f t="shared" si="1"/>
        <v>1d</v>
      </c>
      <c r="B16" s="253"/>
      <c r="C16" s="217"/>
      <c r="D16" s="250"/>
      <c r="E16" s="77" t="s">
        <v>42</v>
      </c>
      <c r="F16" s="79" t="s">
        <v>43</v>
      </c>
      <c r="G16" s="105" t="s">
        <v>76</v>
      </c>
      <c r="H16" s="153" t="s">
        <v>227</v>
      </c>
      <c r="I16" s="100" t="str">
        <f t="shared" si="2"/>
        <v>Oportunidad de mejora</v>
      </c>
      <c r="J16" s="99">
        <f t="shared" si="0"/>
        <v>10</v>
      </c>
      <c r="K16" s="97">
        <v>0.123456</v>
      </c>
      <c r="L16" s="97">
        <f t="shared" si="3"/>
        <v>10.123455999999999</v>
      </c>
    </row>
    <row r="17" spans="1:32" s="46" customFormat="1" ht="33" x14ac:dyDescent="0.25">
      <c r="A17" s="95" t="str">
        <f t="shared" si="1"/>
        <v>1e</v>
      </c>
      <c r="B17" s="253"/>
      <c r="C17" s="217"/>
      <c r="D17" s="250"/>
      <c r="E17" s="77" t="s">
        <v>44</v>
      </c>
      <c r="F17" s="79" t="s">
        <v>45</v>
      </c>
      <c r="G17" s="105" t="s">
        <v>39</v>
      </c>
      <c r="H17" s="153" t="s">
        <v>194</v>
      </c>
      <c r="I17" s="100" t="str">
        <f t="shared" si="2"/>
        <v>Mantenimiento del control</v>
      </c>
      <c r="J17" s="99">
        <f t="shared" si="0"/>
        <v>20</v>
      </c>
      <c r="K17" s="97">
        <v>0.12345678</v>
      </c>
      <c r="L17" s="97">
        <f t="shared" si="3"/>
        <v>20.123456780000001</v>
      </c>
    </row>
    <row r="18" spans="1:32" s="46" customFormat="1" ht="66" x14ac:dyDescent="0.25">
      <c r="A18" s="95" t="str">
        <f t="shared" si="1"/>
        <v>1f</v>
      </c>
      <c r="B18" s="253"/>
      <c r="C18" s="217"/>
      <c r="D18" s="250"/>
      <c r="E18" s="77" t="s">
        <v>46</v>
      </c>
      <c r="F18" s="79" t="s">
        <v>47</v>
      </c>
      <c r="G18" s="105" t="s">
        <v>76</v>
      </c>
      <c r="H18" s="153" t="s">
        <v>234</v>
      </c>
      <c r="I18" s="100" t="str">
        <f t="shared" si="2"/>
        <v>Oportunidad de mejora</v>
      </c>
      <c r="J18" s="99">
        <f t="shared" si="0"/>
        <v>10</v>
      </c>
      <c r="K18" s="97">
        <v>0.123456789</v>
      </c>
      <c r="L18" s="97">
        <f t="shared" si="3"/>
        <v>10.123456789</v>
      </c>
    </row>
    <row r="19" spans="1:32" s="46" customFormat="1" ht="82.5" x14ac:dyDescent="0.25">
      <c r="A19" s="95" t="str">
        <f t="shared" si="1"/>
        <v>1g</v>
      </c>
      <c r="B19" s="253"/>
      <c r="C19" s="217"/>
      <c r="D19" s="250"/>
      <c r="E19" s="77" t="s">
        <v>48</v>
      </c>
      <c r="F19" s="79" t="s">
        <v>49</v>
      </c>
      <c r="G19" s="105" t="s">
        <v>76</v>
      </c>
      <c r="H19" s="153" t="s">
        <v>225</v>
      </c>
      <c r="I19" s="100" t="str">
        <f t="shared" si="2"/>
        <v>Oportunidad de mejora</v>
      </c>
      <c r="J19" s="99">
        <f t="shared" si="0"/>
        <v>10</v>
      </c>
      <c r="K19" s="97">
        <v>0.12345678910000001</v>
      </c>
      <c r="L19" s="97">
        <f t="shared" si="3"/>
        <v>10.1234567891</v>
      </c>
    </row>
    <row r="20" spans="1:32" s="46" customFormat="1" ht="214.5" x14ac:dyDescent="0.25">
      <c r="A20" s="95" t="str">
        <f t="shared" si="1"/>
        <v>1h</v>
      </c>
      <c r="B20" s="253"/>
      <c r="C20" s="217"/>
      <c r="D20" s="250"/>
      <c r="E20" s="77" t="s">
        <v>50</v>
      </c>
      <c r="F20" s="79" t="s">
        <v>51</v>
      </c>
      <c r="G20" s="105" t="s">
        <v>39</v>
      </c>
      <c r="H20" s="153" t="s">
        <v>228</v>
      </c>
      <c r="I20" s="100" t="str">
        <f t="shared" si="2"/>
        <v>Mantenimiento del control</v>
      </c>
      <c r="J20" s="99">
        <f t="shared" si="0"/>
        <v>20</v>
      </c>
      <c r="K20" s="97">
        <v>0.12345678911999999</v>
      </c>
      <c r="L20" s="97">
        <f t="shared" si="3"/>
        <v>20.123456789119999</v>
      </c>
    </row>
    <row r="21" spans="1:32" s="46" customFormat="1" ht="49.5" customHeight="1" x14ac:dyDescent="0.25">
      <c r="A21" s="95" t="str">
        <f t="shared" si="1"/>
        <v>1i</v>
      </c>
      <c r="B21" s="253"/>
      <c r="C21" s="217"/>
      <c r="D21" s="250"/>
      <c r="E21" s="155" t="s">
        <v>52</v>
      </c>
      <c r="F21" s="156" t="s">
        <v>53</v>
      </c>
      <c r="G21" s="157" t="s">
        <v>39</v>
      </c>
      <c r="H21" s="160" t="s">
        <v>241</v>
      </c>
      <c r="I21" s="158" t="str">
        <f t="shared" si="2"/>
        <v>Mantenimiento del control</v>
      </c>
      <c r="J21" s="159">
        <f t="shared" si="0"/>
        <v>20</v>
      </c>
      <c r="K21" s="97">
        <v>0.123456789123</v>
      </c>
      <c r="L21" s="97">
        <f t="shared" si="3"/>
        <v>20.123456789123001</v>
      </c>
    </row>
    <row r="22" spans="1:32" s="46" customFormat="1" ht="49.5" x14ac:dyDescent="0.25">
      <c r="A22" s="95" t="str">
        <f t="shared" si="1"/>
        <v>1j</v>
      </c>
      <c r="B22" s="253"/>
      <c r="C22" s="217"/>
      <c r="D22" s="250"/>
      <c r="E22" s="77" t="s">
        <v>54</v>
      </c>
      <c r="F22" s="79" t="s">
        <v>55</v>
      </c>
      <c r="G22" s="105" t="s">
        <v>36</v>
      </c>
      <c r="H22" s="153" t="s">
        <v>219</v>
      </c>
      <c r="I22" s="100" t="str">
        <f t="shared" si="2"/>
        <v>Deficiencia de control</v>
      </c>
      <c r="J22" s="99">
        <f t="shared" si="0"/>
        <v>0</v>
      </c>
      <c r="K22" s="97">
        <v>0.1234567891234</v>
      </c>
      <c r="L22" s="97">
        <f t="shared" si="3"/>
        <v>0.1234567891234</v>
      </c>
    </row>
    <row r="23" spans="1:32" s="46" customFormat="1" ht="49.5" x14ac:dyDescent="0.25">
      <c r="A23" s="95" t="str">
        <f t="shared" si="1"/>
        <v>1k</v>
      </c>
      <c r="B23" s="253"/>
      <c r="C23" s="217"/>
      <c r="D23" s="250"/>
      <c r="E23" s="77" t="s">
        <v>56</v>
      </c>
      <c r="F23" s="79" t="s">
        <v>57</v>
      </c>
      <c r="G23" s="105" t="s">
        <v>39</v>
      </c>
      <c r="H23" s="153" t="s">
        <v>229</v>
      </c>
      <c r="I23" s="100" t="str">
        <f t="shared" si="2"/>
        <v>Mantenimiento del control</v>
      </c>
      <c r="J23" s="99">
        <f t="shared" si="0"/>
        <v>20</v>
      </c>
      <c r="K23" s="97">
        <v>0.12345678912345</v>
      </c>
      <c r="L23" s="97">
        <f t="shared" si="3"/>
        <v>20.123456789123448</v>
      </c>
    </row>
    <row r="24" spans="1:32" s="46" customFormat="1" ht="50.25" thickBot="1" x14ac:dyDescent="0.3">
      <c r="A24" s="95" t="str">
        <f t="shared" si="1"/>
        <v>1l</v>
      </c>
      <c r="B24" s="254"/>
      <c r="C24" s="218"/>
      <c r="D24" s="251"/>
      <c r="E24" s="80" t="s">
        <v>58</v>
      </c>
      <c r="F24" s="81" t="s">
        <v>59</v>
      </c>
      <c r="G24" s="107" t="s">
        <v>76</v>
      </c>
      <c r="H24" s="154" t="s">
        <v>195</v>
      </c>
      <c r="I24" s="101" t="str">
        <f t="shared" si="2"/>
        <v>Oportunidad de mejora</v>
      </c>
      <c r="J24" s="99">
        <f t="shared" si="0"/>
        <v>10</v>
      </c>
      <c r="K24" s="97">
        <v>0.12345678912345601</v>
      </c>
      <c r="L24" s="97">
        <f t="shared" si="3"/>
        <v>10.123456789123455</v>
      </c>
    </row>
    <row r="25" spans="1:32" s="46" customFormat="1" ht="132" x14ac:dyDescent="0.25">
      <c r="A25" s="95" t="str">
        <f>2&amp;E25</f>
        <v>2a</v>
      </c>
      <c r="B25" s="255" t="s">
        <v>60</v>
      </c>
      <c r="C25" s="219" t="s">
        <v>61</v>
      </c>
      <c r="D25" s="258" t="s">
        <v>62</v>
      </c>
      <c r="E25" s="75" t="s">
        <v>34</v>
      </c>
      <c r="F25" s="76" t="s">
        <v>63</v>
      </c>
      <c r="G25" s="103" t="s">
        <v>39</v>
      </c>
      <c r="H25" s="151" t="s">
        <v>201</v>
      </c>
      <c r="I25" s="96" t="str">
        <f t="shared" si="2"/>
        <v>Mantenimiento del control</v>
      </c>
      <c r="J25" s="97">
        <f>+IF(G25="Si",40,IF(G25="En proceso",30,20))</f>
        <v>40</v>
      </c>
      <c r="K25" s="97">
        <v>0.23</v>
      </c>
      <c r="L25" s="97">
        <f t="shared" si="3"/>
        <v>40.229999999999997</v>
      </c>
    </row>
    <row r="26" spans="1:32" s="46" customFormat="1" ht="63" x14ac:dyDescent="0.25">
      <c r="A26" s="95" t="str">
        <f>2&amp;E26</f>
        <v>2b</v>
      </c>
      <c r="B26" s="256"/>
      <c r="C26" s="220"/>
      <c r="D26" s="234"/>
      <c r="E26" s="77" t="s">
        <v>37</v>
      </c>
      <c r="F26" s="79" t="s">
        <v>64</v>
      </c>
      <c r="G26" s="105" t="s">
        <v>39</v>
      </c>
      <c r="H26" s="153" t="s">
        <v>196</v>
      </c>
      <c r="I26" s="100" t="str">
        <f t="shared" si="2"/>
        <v>Mantenimiento del control</v>
      </c>
      <c r="J26" s="97">
        <f>+IF(G26="Si",40,IF(G26="En proceso",30,20))</f>
        <v>40</v>
      </c>
      <c r="K26" s="97">
        <v>0.23400000000000001</v>
      </c>
      <c r="L26" s="97">
        <f t="shared" si="3"/>
        <v>40.234000000000002</v>
      </c>
    </row>
    <row r="27" spans="1:32" s="46" customFormat="1" ht="47.25" x14ac:dyDescent="0.25">
      <c r="A27" s="95" t="str">
        <f>2&amp;E27</f>
        <v>2c</v>
      </c>
      <c r="B27" s="256"/>
      <c r="C27" s="220"/>
      <c r="D27" s="234"/>
      <c r="E27" s="77" t="s">
        <v>40</v>
      </c>
      <c r="F27" s="79" t="s">
        <v>65</v>
      </c>
      <c r="G27" s="105" t="s">
        <v>39</v>
      </c>
      <c r="H27" s="153" t="s">
        <v>240</v>
      </c>
      <c r="I27" s="100" t="str">
        <f t="shared" si="2"/>
        <v>Mantenimiento del control</v>
      </c>
      <c r="J27" s="97">
        <f>+IF(G27="Si",40,IF(G27="En proceso",30,20))</f>
        <v>40</v>
      </c>
      <c r="K27" s="97">
        <v>0.23449999999999999</v>
      </c>
      <c r="L27" s="97">
        <f t="shared" si="3"/>
        <v>40.234499999999997</v>
      </c>
    </row>
    <row r="28" spans="1:32" s="46" customFormat="1" ht="66.75" thickBot="1" x14ac:dyDescent="0.3">
      <c r="A28" s="95" t="str">
        <f>2&amp;E28</f>
        <v>2d</v>
      </c>
      <c r="B28" s="257"/>
      <c r="C28" s="221"/>
      <c r="D28" s="259"/>
      <c r="E28" s="80" t="s">
        <v>42</v>
      </c>
      <c r="F28" s="81" t="s">
        <v>66</v>
      </c>
      <c r="G28" s="107" t="s">
        <v>36</v>
      </c>
      <c r="H28" s="154" t="s">
        <v>197</v>
      </c>
      <c r="I28" s="101" t="str">
        <f t="shared" si="2"/>
        <v>Deficiencia de control</v>
      </c>
      <c r="J28" s="97">
        <f>+IF(G28="Si",40,IF(G28="En proceso",30,20))</f>
        <v>20</v>
      </c>
      <c r="K28" s="97">
        <v>0.23455999999999999</v>
      </c>
      <c r="L28" s="97">
        <f t="shared" si="3"/>
        <v>20.234559999999998</v>
      </c>
    </row>
    <row r="29" spans="1:32" s="46" customFormat="1" ht="82.5" x14ac:dyDescent="0.25">
      <c r="A29" s="95" t="str">
        <f>3&amp;E29</f>
        <v>3a</v>
      </c>
      <c r="B29" s="231" t="s">
        <v>67</v>
      </c>
      <c r="C29" s="231" t="s">
        <v>61</v>
      </c>
      <c r="D29" s="232" t="s">
        <v>68</v>
      </c>
      <c r="E29" s="77" t="s">
        <v>34</v>
      </c>
      <c r="F29" s="79" t="s">
        <v>69</v>
      </c>
      <c r="G29" s="105" t="s">
        <v>39</v>
      </c>
      <c r="H29" s="153" t="s">
        <v>202</v>
      </c>
      <c r="I29" s="100" t="str">
        <f t="shared" si="2"/>
        <v>Mantenimiento del control</v>
      </c>
      <c r="J29" s="97">
        <f t="shared" ref="J29:J34" si="4">+IF(G29="Si",40,IF(G29="En proceso",30,20))</f>
        <v>40</v>
      </c>
      <c r="K29" s="102">
        <v>0.234567</v>
      </c>
      <c r="L29" s="97">
        <f t="shared" ref="L29:L34" si="5">+J29+K29</f>
        <v>40.234566999999998</v>
      </c>
      <c r="M29" s="45"/>
      <c r="N29" s="45"/>
      <c r="O29" s="45"/>
      <c r="P29" s="45"/>
      <c r="Q29" s="45"/>
      <c r="R29" s="45"/>
      <c r="S29" s="45"/>
      <c r="T29" s="45"/>
      <c r="U29" s="45"/>
      <c r="V29" s="45"/>
      <c r="W29" s="45"/>
      <c r="X29" s="45"/>
      <c r="Y29" s="45"/>
      <c r="Z29" s="45"/>
      <c r="AA29" s="45"/>
      <c r="AB29" s="45"/>
      <c r="AC29" s="45"/>
      <c r="AD29" s="45"/>
      <c r="AE29" s="45"/>
      <c r="AF29" s="45"/>
    </row>
    <row r="30" spans="1:32" s="46" customFormat="1" ht="66" x14ac:dyDescent="0.25">
      <c r="A30" s="95" t="str">
        <f>3&amp;E30</f>
        <v>3b</v>
      </c>
      <c r="B30" s="231"/>
      <c r="C30" s="231"/>
      <c r="D30" s="232"/>
      <c r="E30" s="77" t="s">
        <v>37</v>
      </c>
      <c r="F30" s="79" t="s">
        <v>70</v>
      </c>
      <c r="G30" s="105" t="s">
        <v>39</v>
      </c>
      <c r="H30" s="153" t="s">
        <v>203</v>
      </c>
      <c r="I30" s="100" t="str">
        <f t="shared" si="2"/>
        <v>Mantenimiento del control</v>
      </c>
      <c r="J30" s="97">
        <f t="shared" si="4"/>
        <v>40</v>
      </c>
      <c r="K30" s="102">
        <v>0.23456779999999999</v>
      </c>
      <c r="L30" s="97">
        <f t="shared" si="5"/>
        <v>40.234567800000001</v>
      </c>
      <c r="M30" s="45"/>
      <c r="N30" s="45"/>
      <c r="O30" s="45"/>
      <c r="P30" s="45"/>
      <c r="Q30" s="45"/>
      <c r="R30" s="45"/>
      <c r="S30" s="45"/>
      <c r="T30" s="45"/>
      <c r="U30" s="45"/>
      <c r="V30" s="45"/>
      <c r="W30" s="45"/>
      <c r="X30" s="45"/>
      <c r="Y30" s="45"/>
      <c r="Z30" s="45"/>
      <c r="AA30" s="45"/>
      <c r="AB30" s="45"/>
      <c r="AC30" s="45"/>
      <c r="AD30" s="45"/>
      <c r="AE30" s="45"/>
      <c r="AF30" s="45"/>
    </row>
    <row r="31" spans="1:32" s="46" customFormat="1" ht="63.75" thickBot="1" x14ac:dyDescent="0.3">
      <c r="A31" s="95" t="str">
        <f>3&amp;E31</f>
        <v>3c</v>
      </c>
      <c r="B31" s="231"/>
      <c r="C31" s="231"/>
      <c r="D31" s="232"/>
      <c r="E31" s="77" t="s">
        <v>40</v>
      </c>
      <c r="F31" s="79" t="s">
        <v>71</v>
      </c>
      <c r="G31" s="105" t="s">
        <v>39</v>
      </c>
      <c r="H31" s="153" t="s">
        <v>204</v>
      </c>
      <c r="I31" s="100" t="str">
        <f t="shared" si="2"/>
        <v>Mantenimiento del control</v>
      </c>
      <c r="J31" s="97">
        <f t="shared" si="4"/>
        <v>40</v>
      </c>
      <c r="K31" s="102">
        <v>0.23456789</v>
      </c>
      <c r="L31" s="97">
        <f t="shared" si="5"/>
        <v>40.234567890000001</v>
      </c>
      <c r="M31" s="45"/>
      <c r="N31" s="45"/>
      <c r="O31" s="45"/>
      <c r="P31" s="45"/>
      <c r="Q31" s="45"/>
      <c r="R31" s="45"/>
      <c r="S31" s="45"/>
      <c r="T31" s="45"/>
      <c r="U31" s="45"/>
      <c r="V31" s="45"/>
      <c r="W31" s="45"/>
      <c r="X31" s="45"/>
      <c r="Y31" s="45"/>
      <c r="Z31" s="45"/>
      <c r="AA31" s="45"/>
      <c r="AB31" s="45"/>
      <c r="AC31" s="45"/>
      <c r="AD31" s="45"/>
      <c r="AE31" s="45"/>
      <c r="AF31" s="45"/>
    </row>
    <row r="32" spans="1:32" s="46" customFormat="1" ht="82.5" x14ac:dyDescent="0.25">
      <c r="A32" s="95" t="str">
        <f>4&amp;E32</f>
        <v>4a</v>
      </c>
      <c r="B32" s="233" t="s">
        <v>72</v>
      </c>
      <c r="C32" s="220" t="s">
        <v>61</v>
      </c>
      <c r="D32" s="234" t="s">
        <v>73</v>
      </c>
      <c r="E32" s="75" t="s">
        <v>34</v>
      </c>
      <c r="F32" s="76" t="s">
        <v>74</v>
      </c>
      <c r="G32" s="103" t="s">
        <v>76</v>
      </c>
      <c r="H32" s="151" t="s">
        <v>205</v>
      </c>
      <c r="I32" s="96" t="str">
        <f t="shared" si="2"/>
        <v>Oportunidad de mejora</v>
      </c>
      <c r="J32" s="97">
        <f t="shared" si="4"/>
        <v>30</v>
      </c>
      <c r="K32" s="102">
        <v>0.23456789119999999</v>
      </c>
      <c r="L32" s="97">
        <f t="shared" si="5"/>
        <v>30.234567891200001</v>
      </c>
      <c r="M32" s="45"/>
      <c r="N32" s="45"/>
      <c r="O32" s="45"/>
      <c r="P32" s="45"/>
      <c r="Q32" s="45"/>
    </row>
    <row r="33" spans="1:17" s="46" customFormat="1" ht="33" x14ac:dyDescent="0.25">
      <c r="A33" s="95" t="str">
        <f>4&amp;E33</f>
        <v>4b</v>
      </c>
      <c r="B33" s="233"/>
      <c r="C33" s="220"/>
      <c r="D33" s="234"/>
      <c r="E33" s="77" t="s">
        <v>37</v>
      </c>
      <c r="F33" s="79" t="s">
        <v>75</v>
      </c>
      <c r="G33" s="105" t="s">
        <v>36</v>
      </c>
      <c r="H33" s="153" t="s">
        <v>206</v>
      </c>
      <c r="I33" s="100" t="str">
        <f t="shared" si="2"/>
        <v>Deficiencia de control</v>
      </c>
      <c r="J33" s="97">
        <f t="shared" si="4"/>
        <v>20</v>
      </c>
      <c r="K33" s="102">
        <v>0.23456789122999999</v>
      </c>
      <c r="L33" s="97">
        <f t="shared" si="5"/>
        <v>20.23456789123</v>
      </c>
      <c r="M33" s="45"/>
      <c r="N33" s="45"/>
      <c r="O33" s="45"/>
      <c r="P33" s="45"/>
      <c r="Q33" s="45"/>
    </row>
    <row r="34" spans="1:17" s="46" customFormat="1" ht="50.25" thickBot="1" x14ac:dyDescent="0.3">
      <c r="A34" s="95" t="str">
        <f>4&amp;E34</f>
        <v>4c</v>
      </c>
      <c r="B34" s="233"/>
      <c r="C34" s="220"/>
      <c r="D34" s="234"/>
      <c r="E34" s="77" t="s">
        <v>40</v>
      </c>
      <c r="F34" s="79" t="s">
        <v>77</v>
      </c>
      <c r="G34" s="105" t="s">
        <v>39</v>
      </c>
      <c r="H34" s="153" t="s">
        <v>207</v>
      </c>
      <c r="I34" s="100" t="str">
        <f t="shared" si="2"/>
        <v>Mantenimiento del control</v>
      </c>
      <c r="J34" s="97">
        <f t="shared" si="4"/>
        <v>40</v>
      </c>
      <c r="K34" s="102">
        <v>0.23456789123399999</v>
      </c>
      <c r="L34" s="97">
        <f t="shared" si="5"/>
        <v>40.234567891234001</v>
      </c>
      <c r="M34" s="45"/>
      <c r="N34" s="45"/>
      <c r="O34" s="45"/>
      <c r="P34" s="45"/>
      <c r="Q34" s="45"/>
    </row>
    <row r="35" spans="1:17" s="46" customFormat="1" ht="63.75" thickBot="1" x14ac:dyDescent="0.3">
      <c r="A35" s="95" t="str">
        <f>5&amp;E35</f>
        <v>5a</v>
      </c>
      <c r="B35" s="235" t="s">
        <v>78</v>
      </c>
      <c r="C35" s="222" t="s">
        <v>79</v>
      </c>
      <c r="D35" s="238" t="s">
        <v>80</v>
      </c>
      <c r="E35" s="75" t="s">
        <v>34</v>
      </c>
      <c r="F35" s="76" t="s">
        <v>81</v>
      </c>
      <c r="G35" s="103" t="s">
        <v>39</v>
      </c>
      <c r="H35" s="151" t="s">
        <v>220</v>
      </c>
      <c r="I35" s="96" t="str">
        <f t="shared" si="2"/>
        <v>Mantenimiento del control</v>
      </c>
      <c r="J35" s="97">
        <f>+IF(G35="Si",60,IF(G35="En proceso",50,40))</f>
        <v>60</v>
      </c>
      <c r="K35" s="97">
        <v>0.31</v>
      </c>
      <c r="L35" s="97">
        <f t="shared" si="3"/>
        <v>60.31</v>
      </c>
    </row>
    <row r="36" spans="1:17" s="46" customFormat="1" ht="63" x14ac:dyDescent="0.25">
      <c r="A36" s="95" t="str">
        <f>5&amp;E36</f>
        <v>5b</v>
      </c>
      <c r="B36" s="236"/>
      <c r="C36" s="223"/>
      <c r="D36" s="239"/>
      <c r="E36" s="77" t="s">
        <v>37</v>
      </c>
      <c r="F36" s="79" t="s">
        <v>82</v>
      </c>
      <c r="G36" s="105" t="s">
        <v>76</v>
      </c>
      <c r="H36" s="151" t="s">
        <v>221</v>
      </c>
      <c r="I36" s="100" t="str">
        <f t="shared" si="2"/>
        <v>Oportunidad de mejora</v>
      </c>
      <c r="J36" s="97">
        <f>+IF(G36="Si",60,IF(G36="En proceso",50,40))</f>
        <v>50</v>
      </c>
      <c r="K36" s="97">
        <v>0.32300000000000001</v>
      </c>
      <c r="L36" s="97">
        <f t="shared" si="3"/>
        <v>50.323</v>
      </c>
    </row>
    <row r="37" spans="1:17" s="46" customFormat="1" ht="82.5" x14ac:dyDescent="0.25">
      <c r="A37" s="95" t="str">
        <f>5&amp;E37</f>
        <v>5c</v>
      </c>
      <c r="B37" s="236"/>
      <c r="C37" s="223"/>
      <c r="D37" s="239"/>
      <c r="E37" s="77" t="s">
        <v>40</v>
      </c>
      <c r="F37" s="79" t="s">
        <v>83</v>
      </c>
      <c r="G37" s="105" t="s">
        <v>76</v>
      </c>
      <c r="H37" s="106" t="s">
        <v>198</v>
      </c>
      <c r="I37" s="100" t="str">
        <f t="shared" si="2"/>
        <v>Oportunidad de mejora</v>
      </c>
      <c r="J37" s="97">
        <f>+IF(G37="Si",60,IF(G37="En proceso",50,40))</f>
        <v>50</v>
      </c>
      <c r="K37" s="97">
        <v>0.32400000000000001</v>
      </c>
      <c r="L37" s="97">
        <f t="shared" si="3"/>
        <v>50.323999999999998</v>
      </c>
    </row>
    <row r="38" spans="1:17" s="46" customFormat="1" ht="94.5" x14ac:dyDescent="0.25">
      <c r="A38" s="95" t="str">
        <f>5&amp;E38</f>
        <v>5d</v>
      </c>
      <c r="B38" s="236"/>
      <c r="C38" s="223"/>
      <c r="D38" s="239"/>
      <c r="E38" s="77" t="s">
        <v>42</v>
      </c>
      <c r="F38" s="79" t="s">
        <v>84</v>
      </c>
      <c r="G38" s="105" t="s">
        <v>76</v>
      </c>
      <c r="H38" s="106" t="s">
        <v>230</v>
      </c>
      <c r="I38" s="100" t="str">
        <f t="shared" si="2"/>
        <v>Oportunidad de mejora</v>
      </c>
      <c r="J38" s="97">
        <f>+IF(G38="Si",60,IF(G38="En proceso",50,40))</f>
        <v>50</v>
      </c>
      <c r="K38" s="97">
        <v>0.32500000000000001</v>
      </c>
      <c r="L38" s="97">
        <f t="shared" si="3"/>
        <v>50.325000000000003</v>
      </c>
    </row>
    <row r="39" spans="1:17" s="46" customFormat="1" ht="83.25" thickBot="1" x14ac:dyDescent="0.3">
      <c r="A39" s="95" t="str">
        <f>5&amp;E39</f>
        <v>5e</v>
      </c>
      <c r="B39" s="237"/>
      <c r="C39" s="224"/>
      <c r="D39" s="240"/>
      <c r="E39" s="80" t="s">
        <v>44</v>
      </c>
      <c r="F39" s="81" t="s">
        <v>85</v>
      </c>
      <c r="G39" s="107" t="s">
        <v>39</v>
      </c>
      <c r="H39" s="108" t="s">
        <v>231</v>
      </c>
      <c r="I39" s="101" t="str">
        <f t="shared" si="2"/>
        <v>Mantenimiento del control</v>
      </c>
      <c r="J39" s="97">
        <f>+IF(G39="Si",60,IF(G39="En proceso",50,40))</f>
        <v>60</v>
      </c>
      <c r="K39" s="97">
        <v>0.32600000000000001</v>
      </c>
      <c r="L39" s="97">
        <f t="shared" si="3"/>
        <v>60.326000000000001</v>
      </c>
    </row>
    <row r="40" spans="1:17" s="46" customFormat="1" ht="66" x14ac:dyDescent="0.25">
      <c r="A40" s="95" t="str">
        <f>6&amp;E40</f>
        <v>6a</v>
      </c>
      <c r="B40" s="245" t="s">
        <v>86</v>
      </c>
      <c r="C40" s="225" t="s">
        <v>87</v>
      </c>
      <c r="D40" s="242" t="s">
        <v>88</v>
      </c>
      <c r="E40" s="75" t="s">
        <v>34</v>
      </c>
      <c r="F40" s="76" t="s">
        <v>89</v>
      </c>
      <c r="G40" s="103" t="s">
        <v>76</v>
      </c>
      <c r="H40" s="104" t="s">
        <v>208</v>
      </c>
      <c r="I40" s="96" t="str">
        <f t="shared" si="2"/>
        <v>Oportunidad de mejora</v>
      </c>
      <c r="J40" s="97">
        <f t="shared" ref="J40:J46" si="6">+IF(G40="Si",80,IF(G40="En proceso",70,60))</f>
        <v>70</v>
      </c>
      <c r="K40" s="97">
        <v>0.41199999999999998</v>
      </c>
      <c r="L40" s="97">
        <f t="shared" si="3"/>
        <v>70.412000000000006</v>
      </c>
    </row>
    <row r="41" spans="1:17" s="46" customFormat="1" ht="49.5" x14ac:dyDescent="0.25">
      <c r="A41" s="95" t="str">
        <f t="shared" ref="A41:A46" si="7">6&amp;E41</f>
        <v>6b</v>
      </c>
      <c r="B41" s="246"/>
      <c r="C41" s="226"/>
      <c r="D41" s="243"/>
      <c r="E41" s="77" t="s">
        <v>37</v>
      </c>
      <c r="F41" s="79" t="s">
        <v>90</v>
      </c>
      <c r="G41" s="105" t="s">
        <v>39</v>
      </c>
      <c r="H41" s="106" t="s">
        <v>209</v>
      </c>
      <c r="I41" s="100" t="str">
        <f t="shared" si="2"/>
        <v>Mantenimiento del control</v>
      </c>
      <c r="J41" s="97">
        <f t="shared" si="6"/>
        <v>80</v>
      </c>
      <c r="K41" s="97">
        <v>0.4123</v>
      </c>
      <c r="L41" s="97">
        <f t="shared" si="3"/>
        <v>80.412300000000002</v>
      </c>
    </row>
    <row r="42" spans="1:17" s="46" customFormat="1" ht="66" x14ac:dyDescent="0.25">
      <c r="A42" s="95" t="str">
        <f t="shared" si="7"/>
        <v>6c</v>
      </c>
      <c r="B42" s="246"/>
      <c r="C42" s="226"/>
      <c r="D42" s="243"/>
      <c r="E42" s="77" t="s">
        <v>40</v>
      </c>
      <c r="F42" s="79" t="s">
        <v>91</v>
      </c>
      <c r="G42" s="105" t="s">
        <v>76</v>
      </c>
      <c r="H42" s="106" t="s">
        <v>210</v>
      </c>
      <c r="I42" s="100" t="str">
        <f t="shared" si="2"/>
        <v>Oportunidad de mejora</v>
      </c>
      <c r="J42" s="97">
        <f t="shared" si="6"/>
        <v>70</v>
      </c>
      <c r="K42" s="97">
        <v>0.41233999999999998</v>
      </c>
      <c r="L42" s="97">
        <f t="shared" si="3"/>
        <v>70.41234</v>
      </c>
    </row>
    <row r="43" spans="1:17" s="46" customFormat="1" ht="33" x14ac:dyDescent="0.25">
      <c r="A43" s="95" t="str">
        <f t="shared" si="7"/>
        <v>6d</v>
      </c>
      <c r="B43" s="246"/>
      <c r="C43" s="226"/>
      <c r="D43" s="243"/>
      <c r="E43" s="77" t="s">
        <v>42</v>
      </c>
      <c r="F43" s="79" t="s">
        <v>92</v>
      </c>
      <c r="G43" s="105" t="s">
        <v>36</v>
      </c>
      <c r="H43" s="106" t="s">
        <v>211</v>
      </c>
      <c r="I43" s="100" t="str">
        <f t="shared" si="2"/>
        <v>Deficiencia de control</v>
      </c>
      <c r="J43" s="97">
        <f t="shared" si="6"/>
        <v>60</v>
      </c>
      <c r="K43" s="97">
        <v>0.41234500000000002</v>
      </c>
      <c r="L43" s="97">
        <f t="shared" si="3"/>
        <v>60.412345000000002</v>
      </c>
    </row>
    <row r="44" spans="1:17" s="46" customFormat="1" ht="63" x14ac:dyDescent="0.25">
      <c r="A44" s="95" t="str">
        <f t="shared" si="7"/>
        <v>6e</v>
      </c>
      <c r="B44" s="246"/>
      <c r="C44" s="226"/>
      <c r="D44" s="243"/>
      <c r="E44" s="77" t="s">
        <v>44</v>
      </c>
      <c r="F44" s="79" t="s">
        <v>93</v>
      </c>
      <c r="G44" s="105" t="s">
        <v>36</v>
      </c>
      <c r="H44" s="106" t="s">
        <v>212</v>
      </c>
      <c r="I44" s="100" t="str">
        <f t="shared" si="2"/>
        <v>Deficiencia de control</v>
      </c>
      <c r="J44" s="97">
        <f t="shared" si="6"/>
        <v>60</v>
      </c>
      <c r="K44" s="97">
        <v>0.41234559999999998</v>
      </c>
      <c r="L44" s="97">
        <f t="shared" si="3"/>
        <v>60.412345600000002</v>
      </c>
    </row>
    <row r="45" spans="1:17" s="46" customFormat="1" ht="82.5" x14ac:dyDescent="0.25">
      <c r="A45" s="95" t="str">
        <f t="shared" si="7"/>
        <v>6f</v>
      </c>
      <c r="B45" s="246"/>
      <c r="C45" s="226"/>
      <c r="D45" s="243"/>
      <c r="E45" s="77" t="s">
        <v>46</v>
      </c>
      <c r="F45" s="79" t="s">
        <v>94</v>
      </c>
      <c r="G45" s="105" t="s">
        <v>76</v>
      </c>
      <c r="H45" s="106" t="s">
        <v>242</v>
      </c>
      <c r="I45" s="100" t="str">
        <f t="shared" si="2"/>
        <v>Oportunidad de mejora</v>
      </c>
      <c r="J45" s="97">
        <f t="shared" si="6"/>
        <v>70</v>
      </c>
      <c r="K45" s="97">
        <v>0.41234567</v>
      </c>
      <c r="L45" s="97">
        <f t="shared" si="3"/>
        <v>70.412345669999993</v>
      </c>
    </row>
    <row r="46" spans="1:17" s="46" customFormat="1" ht="66.75" thickBot="1" x14ac:dyDescent="0.3">
      <c r="A46" s="95" t="str">
        <f t="shared" si="7"/>
        <v>6g</v>
      </c>
      <c r="B46" s="247"/>
      <c r="C46" s="227"/>
      <c r="D46" s="244"/>
      <c r="E46" s="80" t="s">
        <v>48</v>
      </c>
      <c r="F46" s="81" t="s">
        <v>95</v>
      </c>
      <c r="G46" s="107" t="s">
        <v>76</v>
      </c>
      <c r="H46" s="108" t="s">
        <v>235</v>
      </c>
      <c r="I46" s="101" t="str">
        <f t="shared" si="2"/>
        <v>Oportunidad de mejora</v>
      </c>
      <c r="J46" s="97">
        <f t="shared" si="6"/>
        <v>70</v>
      </c>
      <c r="K46" s="97">
        <v>0.41234567799999999</v>
      </c>
      <c r="L46" s="97">
        <f t="shared" si="3"/>
        <v>70.412345677999994</v>
      </c>
    </row>
    <row r="47" spans="1:17" s="46" customFormat="1" ht="49.5" x14ac:dyDescent="0.25">
      <c r="A47" s="95" t="str">
        <f>7&amp;E47</f>
        <v>7a</v>
      </c>
      <c r="B47" s="213" t="s">
        <v>96</v>
      </c>
      <c r="C47" s="228" t="s">
        <v>97</v>
      </c>
      <c r="D47" s="210" t="s">
        <v>98</v>
      </c>
      <c r="E47" s="75" t="s">
        <v>34</v>
      </c>
      <c r="F47" s="76" t="s">
        <v>99</v>
      </c>
      <c r="G47" s="103" t="s">
        <v>76</v>
      </c>
      <c r="H47" s="104" t="s">
        <v>243</v>
      </c>
      <c r="I47" s="96" t="str">
        <f t="shared" si="2"/>
        <v>Oportunidad de mejora</v>
      </c>
      <c r="J47" s="97">
        <f>+IF(G47="Si",120,IF(G47="En proceso",100,80))</f>
        <v>100</v>
      </c>
      <c r="K47" s="97">
        <v>0.85099999999999998</v>
      </c>
      <c r="L47" s="97">
        <f t="shared" si="3"/>
        <v>100.851</v>
      </c>
    </row>
    <row r="48" spans="1:17" s="46" customFormat="1" ht="94.5" x14ac:dyDescent="0.25">
      <c r="A48" s="95" t="str">
        <f>7&amp;E48</f>
        <v>7d</v>
      </c>
      <c r="B48" s="214"/>
      <c r="C48" s="229"/>
      <c r="D48" s="211"/>
      <c r="E48" s="77" t="s">
        <v>42</v>
      </c>
      <c r="F48" s="79" t="s">
        <v>100</v>
      </c>
      <c r="G48" s="105" t="s">
        <v>39</v>
      </c>
      <c r="H48" s="106" t="s">
        <v>213</v>
      </c>
      <c r="I48" s="100" t="str">
        <f t="shared" si="2"/>
        <v>Mantenimiento del control</v>
      </c>
      <c r="J48" s="97">
        <f t="shared" ref="J48:J56" si="8">+IF(G48="Si",120,IF(G48="En proceso",100,80))</f>
        <v>120</v>
      </c>
      <c r="K48" s="97">
        <v>0.85119999999999996</v>
      </c>
      <c r="L48" s="97">
        <f t="shared" si="3"/>
        <v>120.85120000000001</v>
      </c>
    </row>
    <row r="49" spans="1:17" s="46" customFormat="1" ht="82.5" x14ac:dyDescent="0.25">
      <c r="A49" s="95" t="str">
        <f>7&amp;E49</f>
        <v>7f</v>
      </c>
      <c r="B49" s="214"/>
      <c r="C49" s="229"/>
      <c r="D49" s="211"/>
      <c r="E49" s="77" t="s">
        <v>46</v>
      </c>
      <c r="F49" s="79" t="s">
        <v>101</v>
      </c>
      <c r="G49" s="105" t="s">
        <v>76</v>
      </c>
      <c r="H49" s="106" t="s">
        <v>226</v>
      </c>
      <c r="I49" s="100" t="str">
        <f t="shared" si="2"/>
        <v>Oportunidad de mejora</v>
      </c>
      <c r="J49" s="97">
        <f t="shared" si="8"/>
        <v>100</v>
      </c>
      <c r="K49" s="97">
        <v>0.85123000000000004</v>
      </c>
      <c r="L49" s="97">
        <f t="shared" si="3"/>
        <v>100.85123</v>
      </c>
    </row>
    <row r="50" spans="1:17" s="46" customFormat="1" ht="48" thickBot="1" x14ac:dyDescent="0.3">
      <c r="A50" s="95" t="str">
        <f>7&amp;E50</f>
        <v>7g</v>
      </c>
      <c r="B50" s="215"/>
      <c r="C50" s="230"/>
      <c r="D50" s="248"/>
      <c r="E50" s="80" t="s">
        <v>48</v>
      </c>
      <c r="F50" s="81" t="s">
        <v>102</v>
      </c>
      <c r="G50" s="107" t="s">
        <v>39</v>
      </c>
      <c r="H50" s="108" t="s">
        <v>232</v>
      </c>
      <c r="I50" s="101" t="str">
        <f t="shared" si="2"/>
        <v>Mantenimiento del control</v>
      </c>
      <c r="J50" s="97">
        <f t="shared" si="8"/>
        <v>120</v>
      </c>
      <c r="K50" s="97">
        <v>0.85123400000000005</v>
      </c>
      <c r="L50" s="97">
        <f t="shared" si="3"/>
        <v>120.85123400000001</v>
      </c>
    </row>
    <row r="51" spans="1:17" s="46" customFormat="1" ht="111" thickBot="1" x14ac:dyDescent="0.3">
      <c r="A51" s="95" t="str">
        <f>8&amp;E51</f>
        <v>8h</v>
      </c>
      <c r="B51" s="149" t="s">
        <v>103</v>
      </c>
      <c r="C51" s="150" t="s">
        <v>97</v>
      </c>
      <c r="D51" s="70" t="s">
        <v>104</v>
      </c>
      <c r="E51" s="75" t="s">
        <v>50</v>
      </c>
      <c r="F51" s="76" t="s">
        <v>105</v>
      </c>
      <c r="G51" s="103" t="s">
        <v>39</v>
      </c>
      <c r="H51" s="104" t="s">
        <v>192</v>
      </c>
      <c r="I51" s="96" t="str">
        <f t="shared" si="2"/>
        <v>Mantenimiento del control</v>
      </c>
      <c r="J51" s="97">
        <f t="shared" si="8"/>
        <v>120</v>
      </c>
      <c r="K51" s="97">
        <v>0.85123450000000001</v>
      </c>
      <c r="L51" s="97">
        <f t="shared" si="3"/>
        <v>120.8512345</v>
      </c>
    </row>
    <row r="52" spans="1:17" s="46" customFormat="1" ht="50.25" thickBot="1" x14ac:dyDescent="0.3">
      <c r="A52" s="95" t="str">
        <f>9&amp;E52</f>
        <v>9a</v>
      </c>
      <c r="B52" s="213" t="s">
        <v>106</v>
      </c>
      <c r="C52" s="228" t="s">
        <v>97</v>
      </c>
      <c r="D52" s="210" t="s">
        <v>107</v>
      </c>
      <c r="E52" s="75" t="s">
        <v>34</v>
      </c>
      <c r="F52" s="76" t="s">
        <v>108</v>
      </c>
      <c r="G52" s="103" t="s">
        <v>76</v>
      </c>
      <c r="H52" s="104" t="s">
        <v>222</v>
      </c>
      <c r="I52" s="96" t="str">
        <f t="shared" si="2"/>
        <v>Oportunidad de mejora</v>
      </c>
      <c r="J52" s="97">
        <f t="shared" si="8"/>
        <v>100</v>
      </c>
      <c r="K52" s="102">
        <v>0.85123455999999997</v>
      </c>
      <c r="L52" s="97">
        <f t="shared" si="3"/>
        <v>100.85123455999999</v>
      </c>
      <c r="M52" s="45"/>
      <c r="N52" s="45"/>
      <c r="O52" s="45"/>
      <c r="P52" s="45"/>
      <c r="Q52" s="45"/>
    </row>
    <row r="53" spans="1:17" s="46" customFormat="1" ht="23.25" x14ac:dyDescent="0.25">
      <c r="A53" s="95" t="str">
        <f>9&amp;E53</f>
        <v>9b</v>
      </c>
      <c r="B53" s="214"/>
      <c r="C53" s="229"/>
      <c r="D53" s="211"/>
      <c r="E53" s="77" t="s">
        <v>37</v>
      </c>
      <c r="F53" s="79" t="s">
        <v>109</v>
      </c>
      <c r="G53" s="105" t="s">
        <v>36</v>
      </c>
      <c r="H53" s="104" t="s">
        <v>199</v>
      </c>
      <c r="I53" s="100" t="str">
        <f t="shared" si="2"/>
        <v>Deficiencia de control</v>
      </c>
      <c r="J53" s="97">
        <f t="shared" si="8"/>
        <v>80</v>
      </c>
      <c r="K53" s="102">
        <v>0.851234567</v>
      </c>
      <c r="L53" s="97">
        <f t="shared" si="3"/>
        <v>80.851234567000006</v>
      </c>
      <c r="M53" s="45"/>
      <c r="N53" s="45"/>
      <c r="O53" s="45"/>
      <c r="P53" s="45"/>
      <c r="Q53" s="45"/>
    </row>
    <row r="54" spans="1:17" s="46" customFormat="1" ht="50.25" thickBot="1" x14ac:dyDescent="0.3">
      <c r="A54" s="95" t="str">
        <f>9&amp;E54</f>
        <v>9c</v>
      </c>
      <c r="B54" s="214"/>
      <c r="C54" s="229"/>
      <c r="D54" s="211"/>
      <c r="E54" s="77" t="s">
        <v>40</v>
      </c>
      <c r="F54" s="79" t="s">
        <v>110</v>
      </c>
      <c r="G54" s="105" t="s">
        <v>36</v>
      </c>
      <c r="H54" s="106" t="s">
        <v>214</v>
      </c>
      <c r="I54" s="100" t="str">
        <f t="shared" si="2"/>
        <v>Deficiencia de control</v>
      </c>
      <c r="J54" s="97">
        <f t="shared" si="8"/>
        <v>80</v>
      </c>
      <c r="K54" s="102">
        <v>0.85123456779999995</v>
      </c>
      <c r="L54" s="97">
        <f t="shared" si="3"/>
        <v>80.851234567800006</v>
      </c>
      <c r="M54" s="45"/>
      <c r="N54" s="45"/>
      <c r="O54" s="45"/>
      <c r="P54" s="45"/>
      <c r="Q54" s="45"/>
    </row>
    <row r="55" spans="1:17" s="46" customFormat="1" ht="31.5" x14ac:dyDescent="0.25">
      <c r="A55" s="95" t="str">
        <f>9&amp;E55</f>
        <v>9d</v>
      </c>
      <c r="B55" s="214"/>
      <c r="C55" s="229"/>
      <c r="D55" s="211"/>
      <c r="E55" s="77" t="s">
        <v>42</v>
      </c>
      <c r="F55" s="79" t="s">
        <v>111</v>
      </c>
      <c r="G55" s="105" t="s">
        <v>36</v>
      </c>
      <c r="H55" s="104" t="s">
        <v>199</v>
      </c>
      <c r="I55" s="100" t="str">
        <f t="shared" si="2"/>
        <v>Deficiencia de control</v>
      </c>
      <c r="J55" s="97">
        <f t="shared" si="8"/>
        <v>80</v>
      </c>
      <c r="K55" s="102">
        <v>0.85123456788999996</v>
      </c>
      <c r="L55" s="97">
        <f t="shared" si="3"/>
        <v>80.851234567890003</v>
      </c>
      <c r="M55" s="45"/>
      <c r="N55" s="45"/>
      <c r="O55" s="45"/>
      <c r="P55" s="45"/>
      <c r="Q55" s="45"/>
    </row>
    <row r="56" spans="1:17" s="46" customFormat="1" ht="50.25" thickBot="1" x14ac:dyDescent="0.3">
      <c r="A56" s="95" t="str">
        <f>9&amp;E56</f>
        <v>9e</v>
      </c>
      <c r="B56" s="215"/>
      <c r="C56" s="229"/>
      <c r="D56" s="212"/>
      <c r="E56" s="80" t="s">
        <v>44</v>
      </c>
      <c r="F56" s="81" t="s">
        <v>112</v>
      </c>
      <c r="G56" s="107" t="s">
        <v>36</v>
      </c>
      <c r="H56" s="108" t="s">
        <v>215</v>
      </c>
      <c r="I56" s="101" t="str">
        <f t="shared" si="2"/>
        <v>Deficiencia de control</v>
      </c>
      <c r="J56" s="97">
        <f t="shared" si="8"/>
        <v>80</v>
      </c>
      <c r="K56" s="102">
        <v>0.85123456789100005</v>
      </c>
      <c r="L56" s="97">
        <f t="shared" si="3"/>
        <v>80.851234567890998</v>
      </c>
      <c r="M56" s="45"/>
      <c r="N56" s="45"/>
      <c r="O56" s="45"/>
      <c r="P56" s="45"/>
      <c r="Q56" s="45"/>
    </row>
  </sheetData>
  <sheetProtection formatCells="0" formatColumns="0" formatRows="0"/>
  <mergeCells count="25">
    <mergeCell ref="B11:I11"/>
    <mergeCell ref="D40:D46"/>
    <mergeCell ref="B40:B46"/>
    <mergeCell ref="D47:D50"/>
    <mergeCell ref="B47:B50"/>
    <mergeCell ref="D13:D24"/>
    <mergeCell ref="B13:B24"/>
    <mergeCell ref="B25:B28"/>
    <mergeCell ref="D25:D28"/>
    <mergeCell ref="D52:D56"/>
    <mergeCell ref="B52:B56"/>
    <mergeCell ref="C13:C24"/>
    <mergeCell ref="C25:C28"/>
    <mergeCell ref="C35:C39"/>
    <mergeCell ref="C40:C46"/>
    <mergeCell ref="C47:C50"/>
    <mergeCell ref="C29:C31"/>
    <mergeCell ref="C32:C34"/>
    <mergeCell ref="C52:C56"/>
    <mergeCell ref="D29:D31"/>
    <mergeCell ref="B29:B31"/>
    <mergeCell ref="B32:B34"/>
    <mergeCell ref="D32:D34"/>
    <mergeCell ref="B35:B39"/>
    <mergeCell ref="D35:D39"/>
  </mergeCells>
  <dataValidations count="2">
    <dataValidation type="list" allowBlank="1" showInputMessage="1" showErrorMessage="1" sqref="G52:G56 G13:G50" xr:uid="{00000000-0002-0000-0100-000000000000}">
      <formula1>"Si, No, En proceso"</formula1>
    </dataValidation>
    <dataValidation type="list" allowBlank="1" showInputMessage="1" showErrorMessage="1" sqref="G51" xr:uid="{00000000-0002-0000-0100-000001000000}">
      <formula1>"Si, No"</formula1>
    </dataValidation>
  </dataValidations>
  <hyperlinks>
    <hyperlink ref="H21" r:id="rId1" xr:uid="{3ABC144F-12AD-439E-A993-9D97A8492440}"/>
  </hyperlinks>
  <pageMargins left="0.51181102362204722" right="0" top="0.35433070866141736" bottom="0.55118110236220474" header="0.31496062992125984" footer="0.31496062992125984"/>
  <pageSetup paperSize="5" scale="70" orientation="landscape" r:id="rId2"/>
  <headerFooter>
    <oddFooter>Página &amp;P&amp;R&amp;A</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59"/>
  <sheetViews>
    <sheetView tabSelected="1" topLeftCell="A23" zoomScale="84" zoomScaleNormal="84" workbookViewId="0">
      <selection activeCell="H42" sqref="H42"/>
    </sheetView>
  </sheetViews>
  <sheetFormatPr baseColWidth="10" defaultColWidth="11.42578125" defaultRowHeight="15" x14ac:dyDescent="0.25"/>
  <cols>
    <col min="1" max="1" width="6.140625" customWidth="1"/>
    <col min="2" max="2" width="22.85546875" customWidth="1"/>
    <col min="3" max="3" width="22.5703125" customWidth="1"/>
    <col min="4" max="4" width="53.42578125" customWidth="1"/>
    <col min="6" max="6" width="28.28515625" customWidth="1"/>
    <col min="7" max="7" width="4.85546875" customWidth="1"/>
    <col min="8" max="8" width="15.28515625" customWidth="1"/>
    <col min="9" max="9" width="22.42578125" customWidth="1"/>
    <col min="10" max="27" width="11.42578125" style="1"/>
  </cols>
  <sheetData>
    <row r="1" spans="1:9" x14ac:dyDescent="0.25">
      <c r="A1" s="1"/>
      <c r="B1" s="1"/>
      <c r="C1" s="1"/>
      <c r="D1" s="1"/>
      <c r="E1" s="1"/>
      <c r="F1" s="1"/>
      <c r="G1" s="1"/>
      <c r="H1" s="1"/>
      <c r="I1" s="1"/>
    </row>
    <row r="2" spans="1:9" s="1" customFormat="1" ht="15.75" thickBot="1" x14ac:dyDescent="0.3"/>
    <row r="3" spans="1:9" ht="26.25" thickBot="1" x14ac:dyDescent="0.3">
      <c r="A3" s="1"/>
      <c r="B3" s="291" t="s">
        <v>113</v>
      </c>
      <c r="C3" s="292"/>
      <c r="D3" s="292"/>
      <c r="E3" s="292"/>
      <c r="F3" s="292"/>
      <c r="G3" s="292"/>
      <c r="H3" s="292"/>
      <c r="I3" s="292"/>
    </row>
    <row r="4" spans="1:9" s="1" customFormat="1" ht="15.75" thickBot="1" x14ac:dyDescent="0.3">
      <c r="B4" s="36"/>
      <c r="C4" s="36"/>
      <c r="D4" s="37"/>
      <c r="E4" s="37"/>
      <c r="F4" s="37"/>
      <c r="G4" s="37"/>
      <c r="H4" s="47"/>
      <c r="I4" s="37"/>
    </row>
    <row r="5" spans="1:9" ht="21" thickBot="1" x14ac:dyDescent="0.3">
      <c r="A5" s="1"/>
      <c r="B5" s="193" t="s">
        <v>15</v>
      </c>
      <c r="C5" s="194"/>
      <c r="D5" s="194" t="s">
        <v>16</v>
      </c>
      <c r="E5" s="205"/>
      <c r="F5" s="37"/>
      <c r="G5" s="37"/>
      <c r="H5" s="47"/>
      <c r="I5" s="37"/>
    </row>
    <row r="6" spans="1:9" ht="54" customHeight="1" x14ac:dyDescent="0.25">
      <c r="A6" s="1"/>
      <c r="B6" s="206" t="s">
        <v>17</v>
      </c>
      <c r="C6" s="207"/>
      <c r="D6" s="208" t="s">
        <v>18</v>
      </c>
      <c r="E6" s="209"/>
      <c r="F6" s="38"/>
      <c r="G6" s="39">
        <v>1</v>
      </c>
      <c r="H6" s="47"/>
      <c r="I6" s="37"/>
    </row>
    <row r="7" spans="1:9" ht="46.5" customHeight="1" x14ac:dyDescent="0.25">
      <c r="A7" s="1"/>
      <c r="B7" s="195" t="s">
        <v>19</v>
      </c>
      <c r="C7" s="196"/>
      <c r="D7" s="197" t="s">
        <v>114</v>
      </c>
      <c r="E7" s="198"/>
      <c r="F7" s="40" t="s">
        <v>115</v>
      </c>
      <c r="G7" s="39">
        <v>0.75</v>
      </c>
      <c r="H7" s="47"/>
      <c r="I7" s="37"/>
    </row>
    <row r="8" spans="1:9" ht="70.5" customHeight="1" thickBot="1" x14ac:dyDescent="0.3">
      <c r="A8" s="1"/>
      <c r="B8" s="199" t="s">
        <v>21</v>
      </c>
      <c r="C8" s="200"/>
      <c r="D8" s="201" t="s">
        <v>116</v>
      </c>
      <c r="E8" s="202"/>
      <c r="F8" s="41"/>
      <c r="G8" s="39">
        <v>0.25</v>
      </c>
      <c r="H8" s="47"/>
      <c r="I8" s="37"/>
    </row>
    <row r="9" spans="1:9" s="1" customFormat="1" x14ac:dyDescent="0.25"/>
    <row r="10" spans="1:9" s="1" customFormat="1" ht="15.75" thickBot="1" x14ac:dyDescent="0.3"/>
    <row r="11" spans="1:9" x14ac:dyDescent="0.25">
      <c r="A11" s="1"/>
      <c r="B11" s="283" t="s">
        <v>117</v>
      </c>
      <c r="C11" s="285" t="s">
        <v>118</v>
      </c>
      <c r="D11" s="286"/>
      <c r="E11" s="287" t="s">
        <v>119</v>
      </c>
      <c r="F11" s="289" t="s">
        <v>120</v>
      </c>
      <c r="G11" s="35"/>
      <c r="H11" s="278" t="s">
        <v>121</v>
      </c>
      <c r="I11" s="278" t="s">
        <v>122</v>
      </c>
    </row>
    <row r="12" spans="1:9" ht="36" customHeight="1" thickBot="1" x14ac:dyDescent="0.3">
      <c r="A12" s="1"/>
      <c r="B12" s="284"/>
      <c r="C12" s="109" t="s">
        <v>123</v>
      </c>
      <c r="D12" s="110" t="s">
        <v>27</v>
      </c>
      <c r="E12" s="288"/>
      <c r="F12" s="290"/>
      <c r="G12" s="35"/>
      <c r="H12" s="279"/>
      <c r="I12" s="279"/>
    </row>
    <row r="13" spans="1:9" ht="65.25" customHeight="1" x14ac:dyDescent="0.25">
      <c r="A13" s="1"/>
      <c r="B13" s="128">
        <v>1</v>
      </c>
      <c r="C13" s="280" t="s">
        <v>32</v>
      </c>
      <c r="D13" s="111" t="str">
        <f>+IFERROR(INDEX(Hoja1!$E$2:$E$45,MATCH('Análisis Resultados'!B13,Hoja1!$H$2:$H$45,0)),"")</f>
        <v>Procesos de desvinculación de servidores de acuerdo con lo previsto en la Constitución Política y las leyes</v>
      </c>
      <c r="E13" s="112" t="str">
        <f>+IFERROR(VLOOKUP(B13,Hoja1!$H$2:$I$45,2,0),"")</f>
        <v>No</v>
      </c>
      <c r="F13" s="113" t="str">
        <f>+IF(E13="Si","Existe requerimiento pero se requiere actividades  dirigidas a su mantenimiento dentro del marco de las lineas de defensa.",IF(E13="En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3" s="129">
        <f>+IF(E13="Si",1,IF(E13="En proceso",0.5,0))</f>
        <v>0</v>
      </c>
      <c r="I13" s="262">
        <f>+AVERAGE(H13:H24)</f>
        <v>0.75</v>
      </c>
    </row>
    <row r="14" spans="1:9" ht="33.75" x14ac:dyDescent="0.25">
      <c r="A14" s="1"/>
      <c r="B14" s="128">
        <v>2</v>
      </c>
      <c r="C14" s="281"/>
      <c r="D14" s="114" t="str">
        <f>+IFERROR(INDEX(Hoja1!$E$2:$E$45,MATCH('Análisis Resultados'!B14,Hoja1!$H$2:$H$45,0)),"")</f>
        <v>Una estructura organizacional formalizada (organigrama)</v>
      </c>
      <c r="E14" s="115" t="str">
        <f>+IFERROR(VLOOKUP(B14,Hoja1!$H$2:$I$45,2,0),"")</f>
        <v>En proceso</v>
      </c>
      <c r="F14" s="116" t="str">
        <f t="shared" ref="F14:F56" si="0">+IF(E14="Si","Existe requerimiento pero se requiere actividades  dirigidas a su mantenimiento dentro del marco de las lineas de defensa.",IF(E14="En proceso","Se encuentra en proceso, pero requiere continuar con acciones dirigidas a contar con dicho aspecto de control.","No se encuentra el aspecto  por lo tanto la entidad debera generar acciones dirigidas a que se cumpla con el requerimiento."))</f>
        <v>Se encuentra en proceso, pero requiere continuar con acciones dirigidas a contar con dicho aspecto de control.</v>
      </c>
      <c r="H14" s="130">
        <f t="shared" ref="H14:H56" si="1">+IF(E14="Si",1,IF(E14="En proceso",0.5,0))</f>
        <v>0.5</v>
      </c>
      <c r="I14" s="263"/>
    </row>
    <row r="15" spans="1:9" ht="42.75" x14ac:dyDescent="0.25">
      <c r="A15" s="1"/>
      <c r="B15" s="128">
        <v>3</v>
      </c>
      <c r="C15" s="281"/>
      <c r="D15" s="114" t="str">
        <f>+IFERROR(INDEX(Hoja1!$E$2:$E$45,MATCH('Análisis Resultados'!B15,Hoja1!$H$2:$H$45,0)),"")</f>
        <v>La documentación de sus procesos y procedimientos o bien una lista de actividades principales que permitan conocer el estado de su gestión</v>
      </c>
      <c r="E15" s="115" t="str">
        <f>+IFERROR(VLOOKUP(B15,Hoja1!$H$2:$I$45,2,0),"")</f>
        <v>En proceso</v>
      </c>
      <c r="F15" s="116" t="str">
        <f t="shared" si="0"/>
        <v>Se encuentra en proceso, pero requiere continuar con acciones dirigidas a contar con dicho aspecto de control.</v>
      </c>
      <c r="H15" s="130">
        <f t="shared" si="1"/>
        <v>0.5</v>
      </c>
      <c r="I15" s="263"/>
    </row>
    <row r="16" spans="1:9" ht="56.25" customHeight="1" x14ac:dyDescent="0.25">
      <c r="A16" s="1"/>
      <c r="B16" s="128">
        <v>4</v>
      </c>
      <c r="C16" s="281"/>
      <c r="D16" s="114" t="str">
        <f>+IFERROR(INDEX(Hoja1!$E$2:$E$45,MATCH('Análisis Resultados'!B16,Hoja1!$H$2:$H$45,0)),"")</f>
        <v>Vinculación de los servidores públicos de acuerdo con el marco normativo que les rige (carrera administrativa, libre nombramiento y remoción, entre otros)</v>
      </c>
      <c r="E16" s="115" t="str">
        <f>+IFERROR(VLOOKUP(B16,Hoja1!$H$2:$I$45,2,0),"")</f>
        <v>En proceso</v>
      </c>
      <c r="F16" s="116" t="str">
        <f t="shared" si="0"/>
        <v>Se encuentra en proceso, pero requiere continuar con acciones dirigidas a contar con dicho aspecto de control.</v>
      </c>
      <c r="H16" s="130">
        <f t="shared" si="1"/>
        <v>0.5</v>
      </c>
      <c r="I16" s="263"/>
    </row>
    <row r="17" spans="1:9" ht="33.75" x14ac:dyDescent="0.25">
      <c r="A17" s="1"/>
      <c r="B17" s="128">
        <v>5</v>
      </c>
      <c r="C17" s="281"/>
      <c r="D17" s="114" t="str">
        <f>+IFERROR(INDEX(Hoja1!$E$2:$E$45,MATCH('Análisis Resultados'!B17,Hoja1!$H$2:$H$45,0)),"")</f>
        <v>Presentación oportuna de sus informes de gestión a las autoridades competentes</v>
      </c>
      <c r="E17" s="115" t="str">
        <f>+IFERROR(VLOOKUP(B17,Hoja1!$H$2:$I$45,2,0),"")</f>
        <v>En proceso</v>
      </c>
      <c r="F17" s="116" t="str">
        <f t="shared" si="0"/>
        <v>Se encuentra en proceso, pero requiere continuar con acciones dirigidas a contar con dicho aspecto de control.</v>
      </c>
      <c r="H17" s="130">
        <f t="shared" si="1"/>
        <v>0.5</v>
      </c>
      <c r="I17" s="263"/>
    </row>
    <row r="18" spans="1:9" ht="45" x14ac:dyDescent="0.25">
      <c r="A18" s="1"/>
      <c r="B18" s="128">
        <v>6</v>
      </c>
      <c r="C18" s="281"/>
      <c r="D18" s="114" t="str">
        <f>+IFERROR(INDEX(Hoja1!$E$2:$E$45,MATCH('Análisis Resultados'!B18,Hoja1!$H$2:$H$45,0)),"")</f>
        <v>Documento interno o adopción del MECI actualizado</v>
      </c>
      <c r="E18" s="115" t="str">
        <f>+IFERROR(VLOOKUP(B18,Hoja1!$H$2:$I$45,2,0),"")</f>
        <v>Si</v>
      </c>
      <c r="F18" s="116" t="str">
        <f t="shared" si="0"/>
        <v>Existe requerimiento pero se requiere actividades  dirigidas a su mantenimiento dentro del marco de las lineas de defensa.</v>
      </c>
      <c r="H18" s="130">
        <f t="shared" si="1"/>
        <v>1</v>
      </c>
      <c r="I18" s="263"/>
    </row>
    <row r="19" spans="1:9" ht="57" x14ac:dyDescent="0.25">
      <c r="A19" s="1"/>
      <c r="B19" s="128">
        <v>7</v>
      </c>
      <c r="C19" s="281"/>
      <c r="D19" s="114" t="str">
        <f>+IFERROR(INDEX(Hoja1!$E$2:$E$45,MATCH('Análisis Resultados'!B19,Hoja1!$H$2:$H$45,0)),"")</f>
        <v>Un documento tal como un código de ética, integridad u otro que formalice los estándares de conducta, los principios institucionales o los valores del servicio público</v>
      </c>
      <c r="E19" s="115" t="str">
        <f>+IFERROR(VLOOKUP(B19,Hoja1!$H$2:$I$45,2,0),"")</f>
        <v>Si</v>
      </c>
      <c r="F19" s="116" t="str">
        <f t="shared" si="0"/>
        <v>Existe requerimiento pero se requiere actividades  dirigidas a su mantenimiento dentro del marco de las lineas de defensa.</v>
      </c>
      <c r="H19" s="130">
        <f t="shared" si="1"/>
        <v>1</v>
      </c>
      <c r="I19" s="263"/>
    </row>
    <row r="20" spans="1:9" ht="45" x14ac:dyDescent="0.25">
      <c r="A20" s="1"/>
      <c r="B20" s="128">
        <v>8</v>
      </c>
      <c r="C20" s="281"/>
      <c r="D20" s="114" t="str">
        <f>+IFERROR(INDEX(Hoja1!$E$2:$E$45,MATCH('Análisis Resultados'!B20,Hoja1!$H$2:$H$45,0)),"")</f>
        <v>Planes, programas y proyectos de acuerdo con las normas que rigen y atendiendo con su propósito fundamental institucional (misión)</v>
      </c>
      <c r="E20" s="115" t="str">
        <f>+IFERROR(VLOOKUP(B20,Hoja1!$H$2:$I$45,2,0),"")</f>
        <v>Si</v>
      </c>
      <c r="F20" s="116" t="str">
        <f t="shared" si="0"/>
        <v>Existe requerimiento pero se requiere actividades  dirigidas a su mantenimiento dentro del marco de las lineas de defensa.</v>
      </c>
      <c r="H20" s="130">
        <f t="shared" si="1"/>
        <v>1</v>
      </c>
      <c r="I20" s="263"/>
    </row>
    <row r="21" spans="1:9" ht="45" x14ac:dyDescent="0.25">
      <c r="A21" s="1"/>
      <c r="B21" s="128">
        <v>9</v>
      </c>
      <c r="C21" s="281"/>
      <c r="D21" s="114" t="str">
        <f>+IFERROR(INDEX(Hoja1!$E$2:$E$45,MATCH('Análisis Resultados'!B21,Hoja1!$H$2:$H$45,0)),"")</f>
        <v>Un manual de funciones que describa los empleos de la entidad</v>
      </c>
      <c r="E21" s="115" t="str">
        <f>+IFERROR(VLOOKUP(B21,Hoja1!$H$2:$I$45,2,0),"")</f>
        <v>Si</v>
      </c>
      <c r="F21" s="116" t="str">
        <f t="shared" si="0"/>
        <v>Existe requerimiento pero se requiere actividades  dirigidas a su mantenimiento dentro del marco de las lineas de defensa.</v>
      </c>
      <c r="H21" s="130">
        <f t="shared" si="1"/>
        <v>1</v>
      </c>
      <c r="I21" s="263"/>
    </row>
    <row r="22" spans="1:9" ht="45" x14ac:dyDescent="0.25">
      <c r="A22" s="1"/>
      <c r="B22" s="128">
        <v>10</v>
      </c>
      <c r="C22" s="281"/>
      <c r="D22" s="114" t="str">
        <f>+IFERROR(INDEX(Hoja1!$E$2:$E$45,MATCH('Análisis Resultados'!B22,Hoja1!$H$2:$H$45,0)),"")</f>
        <v>Procesos de inducción, capacitación y bienestar social para sus servidores públicos, de manera directa o en asociación con otras entidades municipales</v>
      </c>
      <c r="E22" s="115" t="str">
        <f>+IFERROR(VLOOKUP(B22,Hoja1!$H$2:$I$45,2,0),"")</f>
        <v>Si</v>
      </c>
      <c r="F22" s="116" t="str">
        <f t="shared" si="0"/>
        <v>Existe requerimiento pero se requiere actividades  dirigidas a su mantenimiento dentro del marco de las lineas de defensa.</v>
      </c>
      <c r="H22" s="130">
        <f t="shared" si="1"/>
        <v>1</v>
      </c>
      <c r="I22" s="263"/>
    </row>
    <row r="23" spans="1:9" ht="45" x14ac:dyDescent="0.25">
      <c r="A23" s="1"/>
      <c r="B23" s="128">
        <v>11</v>
      </c>
      <c r="C23" s="281"/>
      <c r="D23" s="114" t="str">
        <f>+IFERROR(INDEX(Hoja1!$E$2:$E$45,MATCH('Análisis Resultados'!B23,Hoja1!$H$2:$H$45,0)),"")</f>
        <v>Evaluación a los servidores públicos de acuerdo con el marco normativo que le rige</v>
      </c>
      <c r="E23" s="115" t="str">
        <f>+IFERROR(VLOOKUP(B23,Hoja1!$H$2:$I$45,2,0),"")</f>
        <v>Si</v>
      </c>
      <c r="F23" s="116" t="str">
        <f>+IF(E23="Si","Existe requerimiento pero se requiere actividades  dirigidas a su mantenimiento dentro del marco de las lineas de defensa.",IF(E23="En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3" s="130">
        <f t="shared" si="1"/>
        <v>1</v>
      </c>
      <c r="I23" s="263"/>
    </row>
    <row r="24" spans="1:9" ht="45.75" thickBot="1" x14ac:dyDescent="0.3">
      <c r="A24" s="1"/>
      <c r="B24" s="128">
        <v>12</v>
      </c>
      <c r="C24" s="282"/>
      <c r="D24" s="117" t="str">
        <f>+IFERROR(INDEX(Hoja1!$E$2:$E$45,MATCH('Análisis Resultados'!B24,Hoja1!$H$2:$H$45,0)),"")</f>
        <v>Mecanismos de rendición de cuentas a la ciudadanía</v>
      </c>
      <c r="E24" s="118" t="str">
        <f>+IFERROR(VLOOKUP(B24,Hoja1!$H$2:$I$45,2,0),"")</f>
        <v>Si</v>
      </c>
      <c r="F24" s="119" t="str">
        <f t="shared" si="0"/>
        <v>Existe requerimiento pero se requiere actividades  dirigidas a su mantenimiento dentro del marco de las lineas de defensa.</v>
      </c>
      <c r="H24" s="131">
        <f t="shared" si="1"/>
        <v>1</v>
      </c>
      <c r="I24" s="264"/>
    </row>
    <row r="25" spans="1:9" ht="45" customHeight="1" x14ac:dyDescent="0.25">
      <c r="A25" s="1"/>
      <c r="B25" s="128">
        <v>13</v>
      </c>
      <c r="C25" s="276" t="s">
        <v>61</v>
      </c>
      <c r="D25" s="111" t="str">
        <f>+IFERROR(INDEX(Hoja1!$E$2:$E$45,MATCH('Análisis Resultados'!B25,Hoja1!$H$2:$H$45,0)),"")</f>
        <v>Si su capacidad e infraestructura lo permite, identificación de riesgos asociados a las tecnologías de la información y las comunicaciones</v>
      </c>
      <c r="E25" s="112" t="str">
        <f>+IFERROR(VLOOKUP(B25,Hoja1!$H$2:$I$45,2,0),"")</f>
        <v>No</v>
      </c>
      <c r="F25" s="113" t="str">
        <f t="shared" si="0"/>
        <v>No se encuentra el aspecto  por lo tanto la entidad debera generar acciones dirigidas a que se cumpla con el requerimiento.</v>
      </c>
      <c r="H25" s="129">
        <f t="shared" si="1"/>
        <v>0</v>
      </c>
      <c r="I25" s="260">
        <f>+AVERAGE(H25:H34)</f>
        <v>0.75</v>
      </c>
    </row>
    <row r="26" spans="1:9" ht="57" customHeight="1" x14ac:dyDescent="0.25">
      <c r="A26" s="1"/>
      <c r="B26" s="128">
        <v>14</v>
      </c>
      <c r="C26" s="277"/>
      <c r="D26" s="114" t="str">
        <f>+IFERROR(INDEX(Hoja1!$E$2:$E$45,MATCH('Análisis Resultados'!B26,Hoja1!$H$2:$H$45,0)),"")</f>
        <v>Cada líder del equipo autónomamente toma las acciones para solucionarlos.</v>
      </c>
      <c r="E26" s="115" t="str">
        <f>+IFERROR(VLOOKUP(B26,Hoja1!$H$2:$I$45,2,0),"")</f>
        <v>No</v>
      </c>
      <c r="F26" s="116" t="str">
        <f t="shared" si="0"/>
        <v>No se encuentra el aspecto  por lo tanto la entidad debera generar acciones dirigidas a que se cumpla con el requerimiento.</v>
      </c>
      <c r="H26" s="130">
        <f t="shared" si="1"/>
        <v>0</v>
      </c>
      <c r="I26" s="261"/>
    </row>
    <row r="27" spans="1:9" ht="54" customHeight="1" x14ac:dyDescent="0.25">
      <c r="A27" s="1"/>
      <c r="B27" s="128">
        <v>15</v>
      </c>
      <c r="C27" s="277"/>
      <c r="D27" s="114" t="str">
        <f>+IFERROR(INDEX(Hoja1!$E$2:$E$45,MATCH('Análisis Resultados'!B27,Hoja1!$H$2:$H$45,0)),"")</f>
        <v>Se definen espacios de reunión para conocerlos y proponer acciones para su solución</v>
      </c>
      <c r="E27" s="115" t="str">
        <f>+IFERROR(VLOOKUP(B27,Hoja1!$H$2:$I$45,2,0),"")</f>
        <v>En proceso</v>
      </c>
      <c r="F27" s="116" t="str">
        <f t="shared" si="0"/>
        <v>Se encuentra en proceso, pero requiere continuar con acciones dirigidas a contar con dicho aspecto de control.</v>
      </c>
      <c r="H27" s="130">
        <f t="shared" si="1"/>
        <v>0.5</v>
      </c>
      <c r="I27" s="261"/>
    </row>
    <row r="28" spans="1:9" ht="45" x14ac:dyDescent="0.25">
      <c r="A28" s="1"/>
      <c r="B28" s="128">
        <v>16</v>
      </c>
      <c r="C28" s="277"/>
      <c r="D28" s="114" t="str">
        <f>+IFERROR(INDEX(Hoja1!$E$2:$E$45,MATCH('Análisis Resultados'!B28,Hoja1!$H$2:$H$45,0)),"")</f>
        <v>La identificación de cambios en su entorno que pueden generar consecuencias negativas en su gestión</v>
      </c>
      <c r="E28" s="115" t="str">
        <f>+IFERROR(VLOOKUP(B28,Hoja1!$H$2:$I$45,2,0),"")</f>
        <v>Si</v>
      </c>
      <c r="F28" s="116" t="str">
        <f t="shared" si="0"/>
        <v>Existe requerimiento pero se requiere actividades  dirigidas a su mantenimiento dentro del marco de las lineas de defensa.</v>
      </c>
      <c r="H28" s="130">
        <f t="shared" si="1"/>
        <v>1</v>
      </c>
      <c r="I28" s="261"/>
    </row>
    <row r="29" spans="1:9" ht="67.5" customHeight="1" x14ac:dyDescent="0.25">
      <c r="A29" s="1"/>
      <c r="B29" s="128">
        <v>17</v>
      </c>
      <c r="C29" s="277"/>
      <c r="D29" s="114" t="str">
        <f>+IFERROR(INDEX(Hoja1!$E$2:$E$45,MATCH('Análisis Resultados'!B29,Hoja1!$H$2:$H$45,0)),"")</f>
        <v>La identificación de aquellos problemas o aspectos que pueden afectar el cumplimiento de los planes de la entidad y en general su gestión institucional (riesgos)</v>
      </c>
      <c r="E29" s="115" t="str">
        <f>+IFERROR(VLOOKUP(B29,Hoja1!$H$2:$I$45,2,0),"")</f>
        <v>Si</v>
      </c>
      <c r="F29" s="116" t="str">
        <f t="shared" si="0"/>
        <v>Existe requerimiento pero se requiere actividades  dirigidas a su mantenimiento dentro del marco de las lineas de defensa.</v>
      </c>
      <c r="H29" s="130">
        <f t="shared" si="1"/>
        <v>1</v>
      </c>
      <c r="I29" s="261"/>
    </row>
    <row r="30" spans="1:9" ht="45" x14ac:dyDescent="0.25">
      <c r="A30" s="1"/>
      <c r="B30" s="128">
        <v>18</v>
      </c>
      <c r="C30" s="277"/>
      <c r="D30" s="114" t="str">
        <f>+IFERROR(INDEX(Hoja1!$E$2:$E$45,MATCH('Análisis Resultados'!B30,Hoja1!$H$2:$H$45,0)),"")</f>
        <v>La identificación  de los riesgos relacionados con posibles actos de corrupción en el ejercicio de sus funciones</v>
      </c>
      <c r="E30" s="115" t="str">
        <f>+IFERROR(VLOOKUP(B30,Hoja1!$H$2:$I$45,2,0),"")</f>
        <v>Si</v>
      </c>
      <c r="F30" s="116" t="str">
        <f t="shared" si="0"/>
        <v>Existe requerimiento pero se requiere actividades  dirigidas a su mantenimiento dentro del marco de las lineas de defensa.</v>
      </c>
      <c r="H30" s="130">
        <f t="shared" si="1"/>
        <v>1</v>
      </c>
      <c r="I30" s="261"/>
    </row>
    <row r="31" spans="1:9" ht="57" customHeight="1" x14ac:dyDescent="0.25">
      <c r="A31" s="1"/>
      <c r="B31" s="128">
        <v>19</v>
      </c>
      <c r="C31" s="277"/>
      <c r="D31" s="114" t="str">
        <f>+IFERROR(INDEX(Hoja1!$E$2:$E$45,MATCH('Análisis Resultados'!B31,Hoja1!$H$2:$H$45,0)),"")</f>
        <v>Hacen seguimiento a los problemas (riesgos)  que pueden afectar el cumplimiento de sus procesos, programas o proyectos a cargo</v>
      </c>
      <c r="E31" s="115" t="str">
        <f>+IFERROR(VLOOKUP(B31,Hoja1!$H$2:$I$45,2,0),"")</f>
        <v>Si</v>
      </c>
      <c r="F31" s="116" t="str">
        <f t="shared" si="0"/>
        <v>Existe requerimiento pero se requiere actividades  dirigidas a su mantenimiento dentro del marco de las lineas de defensa.</v>
      </c>
      <c r="H31" s="130">
        <f t="shared" si="1"/>
        <v>1</v>
      </c>
      <c r="I31" s="261"/>
    </row>
    <row r="32" spans="1:9" ht="45" x14ac:dyDescent="0.25">
      <c r="A32" s="1"/>
      <c r="B32" s="128">
        <v>20</v>
      </c>
      <c r="C32" s="277"/>
      <c r="D32" s="114" t="str">
        <f>+IFERROR(INDEX(Hoja1!$E$2:$E$45,MATCH('Análisis Resultados'!B32,Hoja1!$H$2:$H$45,0)),"")</f>
        <v>Informan de manera periódica a quien corresponda sobre el desempeño de las actividades de gestión de riesgos</v>
      </c>
      <c r="E32" s="115" t="str">
        <f>+IFERROR(VLOOKUP(B32,Hoja1!$H$2:$I$45,2,0),"")</f>
        <v>Si</v>
      </c>
      <c r="F32" s="116" t="str">
        <f t="shared" si="0"/>
        <v>Existe requerimiento pero se requiere actividades  dirigidas a su mantenimiento dentro del marco de las lineas de defensa.</v>
      </c>
      <c r="H32" s="130">
        <f t="shared" si="1"/>
        <v>1</v>
      </c>
      <c r="I32" s="261"/>
    </row>
    <row r="33" spans="1:9" ht="45" x14ac:dyDescent="0.25">
      <c r="A33" s="1"/>
      <c r="B33" s="128">
        <v>21</v>
      </c>
      <c r="C33" s="277"/>
      <c r="D33" s="114" t="str">
        <f>+IFERROR(INDEX(Hoja1!$E$2:$E$45,MATCH('Análisis Resultados'!B33,Hoja1!$H$2:$H$45,0)),"")</f>
        <v>Identifican deficiencias en las maneras de  controlar los riesgos o problemas en sus procesos, programas o proyectos, y propone los ajustes necesarios</v>
      </c>
      <c r="E33" s="115" t="str">
        <f>+IFERROR(VLOOKUP(B33,Hoja1!$H$2:$I$45,2,0),"")</f>
        <v>Si</v>
      </c>
      <c r="F33" s="116" t="str">
        <f t="shared" si="0"/>
        <v>Existe requerimiento pero se requiere actividades  dirigidas a su mantenimiento dentro del marco de las lineas de defensa.</v>
      </c>
      <c r="H33" s="130">
        <f t="shared" si="1"/>
        <v>1</v>
      </c>
      <c r="I33" s="261"/>
    </row>
    <row r="34" spans="1:9" ht="45.75" thickBot="1" x14ac:dyDescent="0.3">
      <c r="A34" s="1"/>
      <c r="B34" s="128">
        <v>22</v>
      </c>
      <c r="C34" s="277"/>
      <c r="D34" s="120" t="str">
        <f>+IFERROR(INDEX(Hoja1!$E$2:$E$45,MATCH('Análisis Resultados'!B34,Hoja1!$H$2:$H$45,0)),"")</f>
        <v>Solamente hasta que un organismo de control actúa se definen acciones de mejora.</v>
      </c>
      <c r="E34" s="121" t="str">
        <f>+IFERROR(VLOOKUP(B34,Hoja1!$H$2:$I$45,2,0),"")</f>
        <v>Si</v>
      </c>
      <c r="F34" s="122" t="str">
        <f t="shared" si="0"/>
        <v>Existe requerimiento pero se requiere actividades  dirigidas a su mantenimiento dentro del marco de las lineas de defensa.</v>
      </c>
      <c r="H34" s="132">
        <f t="shared" si="1"/>
        <v>1</v>
      </c>
      <c r="I34" s="261"/>
    </row>
    <row r="35" spans="1:9" ht="87.75" customHeight="1" x14ac:dyDescent="0.25">
      <c r="A35" s="1"/>
      <c r="B35" s="128">
        <v>23</v>
      </c>
      <c r="C35" s="272" t="s">
        <v>79</v>
      </c>
      <c r="D35" s="111" t="str">
        <f>+IFERROR(INDEX(Hoja1!$E$2:$E$45,MATCH('Análisis Resultados'!B35,Hoja1!$H$2:$H$45,0)),"")</f>
        <v>Mecanismos de verificación de si se están o no mitigando los riesgos, o en su defecto, elaboración de planes de contingencia para subsanar sus consecuencias</v>
      </c>
      <c r="E35" s="112" t="str">
        <f>+IFERROR(VLOOKUP(B35,Hoja1!$H$2:$I$45,2,0),"")</f>
        <v>En proceso</v>
      </c>
      <c r="F35" s="113" t="str">
        <f t="shared" si="0"/>
        <v>Se encuentra en proceso, pero requiere continuar con acciones dirigidas a contar con dicho aspecto de control.</v>
      </c>
      <c r="H35" s="129">
        <f t="shared" si="1"/>
        <v>0.5</v>
      </c>
      <c r="I35" s="260">
        <f>+AVERAGE(H35:H39)</f>
        <v>0.7</v>
      </c>
    </row>
    <row r="36" spans="1:9" ht="42.75" x14ac:dyDescent="0.25">
      <c r="A36" s="1"/>
      <c r="B36" s="128">
        <v>24</v>
      </c>
      <c r="C36" s="273"/>
      <c r="D36" s="114" t="str">
        <f>+IFERROR(INDEX(Hoja1!$E$2:$E$45,MATCH('Análisis Resultados'!B36,Hoja1!$H$2:$H$45,0)),"")</f>
        <v>Planes, acciones o estrategias que permitan subsanar las consecuencias de la materialización de los riesgos, cuando se presentan</v>
      </c>
      <c r="E36" s="115" t="str">
        <f>+IFERROR(VLOOKUP(B36,Hoja1!$H$2:$I$45,2,0),"")</f>
        <v>En proceso</v>
      </c>
      <c r="F36" s="116" t="str">
        <f t="shared" si="0"/>
        <v>Se encuentra en proceso, pero requiere continuar con acciones dirigidas a contar con dicho aspecto de control.</v>
      </c>
      <c r="H36" s="130">
        <f t="shared" si="1"/>
        <v>0.5</v>
      </c>
      <c r="I36" s="261"/>
    </row>
    <row r="37" spans="1:9" ht="85.5" customHeight="1" x14ac:dyDescent="0.25">
      <c r="A37" s="1"/>
      <c r="B37" s="128">
        <v>25</v>
      </c>
      <c r="C37" s="273"/>
      <c r="D37" s="114" t="str">
        <f>+IFERROR(INDEX(Hoja1!$E$2:$E$45,MATCH('Análisis Resultados'!B37,Hoja1!$H$2:$H$45,0)),"")</f>
        <v>Un documento que consolide  los riesgos  y el tratamiento que se les da, incluyendo aquellos que conllevan posibles actos de corrupción y si la capacidad e infraestructura lo permite, los asociados con las tecnologías de la información y las comunicaciones</v>
      </c>
      <c r="E37" s="115" t="str">
        <f>+IFERROR(VLOOKUP(B37,Hoja1!$H$2:$I$45,2,0),"")</f>
        <v>En proceso</v>
      </c>
      <c r="F37" s="116" t="str">
        <f t="shared" si="0"/>
        <v>Se encuentra en proceso, pero requiere continuar con acciones dirigidas a contar con dicho aspecto de control.</v>
      </c>
      <c r="H37" s="130">
        <f t="shared" si="1"/>
        <v>0.5</v>
      </c>
      <c r="I37" s="261"/>
    </row>
    <row r="38" spans="1:9" ht="57" customHeight="1" x14ac:dyDescent="0.25">
      <c r="A38" s="1"/>
      <c r="B38" s="128">
        <v>26</v>
      </c>
      <c r="C38" s="273"/>
      <c r="D38" s="114" t="str">
        <f>+IFERROR(INDEX(Hoja1!$E$2:$E$45,MATCH('Análisis Resultados'!B38,Hoja1!$H$2:$H$45,0)),"")</f>
        <v>La definición de acciones o actividades para para dar tratamiento a los problemas identificados (mitigación de riesgos), incluyendo aquellos asociados a posibles actos de corrupción</v>
      </c>
      <c r="E38" s="115" t="str">
        <f>+IFERROR(VLOOKUP(B38,Hoja1!$H$2:$I$45,2,0),"")</f>
        <v>Si</v>
      </c>
      <c r="F38" s="116" t="str">
        <f t="shared" si="0"/>
        <v>Existe requerimiento pero se requiere actividades  dirigidas a su mantenimiento dentro del marco de las lineas de defensa.</v>
      </c>
      <c r="H38" s="130">
        <f t="shared" si="1"/>
        <v>1</v>
      </c>
      <c r="I38" s="261"/>
    </row>
    <row r="39" spans="1:9" ht="57" customHeight="1" thickBot="1" x14ac:dyDescent="0.3">
      <c r="A39" s="1"/>
      <c r="B39" s="128">
        <v>27</v>
      </c>
      <c r="C39" s="274"/>
      <c r="D39" s="117" t="str">
        <f>+IFERROR(INDEX(Hoja1!$E$2:$E$45,MATCH('Análisis Resultados'!B39,Hoja1!$H$2:$H$45,0)),"")</f>
        <v>Un plan anticorrupción y de servicio al ciudadano con los temas que le aplican, publicado en algún medio para conocimiento de la ciudadanía</v>
      </c>
      <c r="E39" s="118" t="str">
        <f>+IFERROR(VLOOKUP(B39,Hoja1!$H$2:$I$45,2,0),"")</f>
        <v>Si</v>
      </c>
      <c r="F39" s="119" t="str">
        <f t="shared" si="0"/>
        <v>Existe requerimiento pero se requiere actividades  dirigidas a su mantenimiento dentro del marco de las lineas de defensa.</v>
      </c>
      <c r="H39" s="131">
        <f t="shared" si="1"/>
        <v>1</v>
      </c>
      <c r="I39" s="275"/>
    </row>
    <row r="40" spans="1:9" ht="63.75" customHeight="1" x14ac:dyDescent="0.25">
      <c r="A40" s="1"/>
      <c r="B40" s="128">
        <v>28</v>
      </c>
      <c r="C40" s="271" t="s">
        <v>87</v>
      </c>
      <c r="D40" s="123" t="str">
        <f>+IFERROR(INDEX(Hoja1!$E$2:$E$45,MATCH('Análisis Resultados'!B40,Hoja1!$H$2:$H$45,0)),"")</f>
        <v xml:space="preserve">Lineamientos para dar tratamiento a la información de carácter reservado </v>
      </c>
      <c r="E40" s="124" t="str">
        <f>+IFERROR(VLOOKUP(B40,Hoja1!$H$2:$I$45,2,0),"")</f>
        <v>No</v>
      </c>
      <c r="F40" s="125" t="str">
        <f t="shared" si="0"/>
        <v>No se encuentra el aspecto  por lo tanto la entidad debera generar acciones dirigidas a que se cumpla con el requerimiento.</v>
      </c>
      <c r="H40" s="133">
        <f t="shared" si="1"/>
        <v>0</v>
      </c>
      <c r="I40" s="261">
        <f>+AVERAGE(H40:H46)</f>
        <v>0.42857142857142855</v>
      </c>
    </row>
    <row r="41" spans="1:9" ht="92.25" customHeight="1" x14ac:dyDescent="0.25">
      <c r="A41" s="1"/>
      <c r="B41" s="128">
        <v>29</v>
      </c>
      <c r="C41" s="271"/>
      <c r="D41" s="114" t="str">
        <f>+IFERROR(INDEX(Hoja1!$E$2:$E$45,MATCH('Análisis Resultados'!B41,Hoja1!$H$2:$H$45,0)),"")</f>
        <v>Identificación de información que produce en el marco de su gestión (Para los ciudadanos, organismos de control, organismos gubernamentales, entre otros)</v>
      </c>
      <c r="E41" s="115" t="str">
        <f>+IFERROR(VLOOKUP(B41,Hoja1!$H$2:$I$45,2,0),"")</f>
        <v>No</v>
      </c>
      <c r="F41" s="126" t="str">
        <f t="shared" si="0"/>
        <v>No se encuentra el aspecto  por lo tanto la entidad debera generar acciones dirigidas a que se cumpla con el requerimiento.</v>
      </c>
      <c r="H41" s="134">
        <f t="shared" si="1"/>
        <v>0</v>
      </c>
      <c r="I41" s="261"/>
    </row>
    <row r="42" spans="1:9" ht="66.75" customHeight="1" x14ac:dyDescent="0.25">
      <c r="A42" s="1"/>
      <c r="B42" s="128">
        <v>30</v>
      </c>
      <c r="C42" s="271"/>
      <c r="D42" s="114" t="str">
        <f>+IFERROR(INDEX(Hoja1!$E$2:$E$45,MATCH('Análisis Resultados'!B42,Hoja1!$H$2:$H$45,0)),"")</f>
        <v>Responsables de la información institucional</v>
      </c>
      <c r="E42" s="115" t="str">
        <f>+IFERROR(VLOOKUP(B42,Hoja1!$H$2:$I$45,2,0),"")</f>
        <v>En proceso</v>
      </c>
      <c r="F42" s="126" t="str">
        <f t="shared" si="0"/>
        <v>Se encuentra en proceso, pero requiere continuar con acciones dirigidas a contar con dicho aspecto de control.</v>
      </c>
      <c r="H42" s="134">
        <f t="shared" si="1"/>
        <v>0.5</v>
      </c>
      <c r="I42" s="261"/>
    </row>
    <row r="43" spans="1:9" ht="60" customHeight="1" x14ac:dyDescent="0.25">
      <c r="A43" s="1"/>
      <c r="B43" s="128">
        <v>31</v>
      </c>
      <c r="C43" s="271"/>
      <c r="D43" s="114" t="str">
        <f>+IFERROR(INDEX(Hoja1!$E$2:$E$45,MATCH('Análisis Resultados'!B43,Hoja1!$H$2:$H$45,0)),"")</f>
        <v>Canales de comunicación o mecanismos de reporte de información a otros organismos gubernamentales o de control</v>
      </c>
      <c r="E43" s="115" t="str">
        <f>+IFERROR(VLOOKUP(B43,Hoja1!$H$2:$I$45,2,0),"")</f>
        <v>En proceso</v>
      </c>
      <c r="F43" s="126" t="str">
        <f t="shared" si="0"/>
        <v>Se encuentra en proceso, pero requiere continuar con acciones dirigidas a contar con dicho aspecto de control.</v>
      </c>
      <c r="H43" s="134">
        <f t="shared" si="1"/>
        <v>0.5</v>
      </c>
      <c r="I43" s="261"/>
    </row>
    <row r="44" spans="1:9" ht="57" customHeight="1" x14ac:dyDescent="0.25">
      <c r="A44" s="1"/>
      <c r="B44" s="128">
        <v>32</v>
      </c>
      <c r="C44" s="271"/>
      <c r="D44" s="114" t="str">
        <f>+IFERROR(INDEX(Hoja1!$E$2:$E$45,MATCH('Análisis Resultados'!B44,Hoja1!$H$2:$H$45,0)),"")</f>
        <v>Identificación de información necesaria para la operación de la entidad (normograma, presupuesto, talento humano, infraestructura física y tecnológica)</v>
      </c>
      <c r="E44" s="115" t="str">
        <f>+IFERROR(VLOOKUP(B44,Hoja1!$H$2:$I$45,2,0),"")</f>
        <v>En proceso</v>
      </c>
      <c r="F44" s="126" t="str">
        <f t="shared" si="0"/>
        <v>Se encuentra en proceso, pero requiere continuar con acciones dirigidas a contar con dicho aspecto de control.</v>
      </c>
      <c r="H44" s="134">
        <f t="shared" si="1"/>
        <v>0.5</v>
      </c>
      <c r="I44" s="261"/>
    </row>
    <row r="45" spans="1:9" ht="57" customHeight="1" x14ac:dyDescent="0.25">
      <c r="A45" s="1"/>
      <c r="B45" s="128">
        <v>33</v>
      </c>
      <c r="C45" s="271"/>
      <c r="D45" s="114" t="str">
        <f>+IFERROR(INDEX(Hoja1!$E$2:$E$45,MATCH('Análisis Resultados'!B45,Hoja1!$H$2:$H$45,0)),"")</f>
        <v>Si su capacidad e infraestructura lo permite, tecnologías de la información y las comunicaciones que soporten estos procesos</v>
      </c>
      <c r="E45" s="115" t="str">
        <f>+IFERROR(VLOOKUP(B45,Hoja1!$H$2:$I$45,2,0),"")</f>
        <v>En proceso</v>
      </c>
      <c r="F45" s="126" t="str">
        <f t="shared" si="0"/>
        <v>Se encuentra en proceso, pero requiere continuar con acciones dirigidas a contar con dicho aspecto de control.</v>
      </c>
      <c r="H45" s="134">
        <f t="shared" si="1"/>
        <v>0.5</v>
      </c>
      <c r="I45" s="261"/>
    </row>
    <row r="46" spans="1:9" ht="45.75" thickBot="1" x14ac:dyDescent="0.3">
      <c r="A46" s="1"/>
      <c r="B46" s="128">
        <v>34</v>
      </c>
      <c r="C46" s="271"/>
      <c r="D46" s="120" t="str">
        <f>+IFERROR(INDEX(Hoja1!$E$2:$E$45,MATCH('Análisis Resultados'!B46,Hoja1!$H$2:$H$45,0)),"")</f>
        <v>Canales de comunicación con los ciudadanos</v>
      </c>
      <c r="E46" s="121" t="str">
        <f>+IFERROR(VLOOKUP(B46,Hoja1!$H$2:$I$45,2,0),"")</f>
        <v>Si</v>
      </c>
      <c r="F46" s="127" t="str">
        <f t="shared" si="0"/>
        <v>Existe requerimiento pero se requiere actividades  dirigidas a su mantenimiento dentro del marco de las lineas de defensa.</v>
      </c>
      <c r="H46" s="135">
        <f t="shared" si="1"/>
        <v>1</v>
      </c>
      <c r="I46" s="261"/>
    </row>
    <row r="47" spans="1:9" ht="41.25" customHeight="1" x14ac:dyDescent="0.25">
      <c r="A47" s="1"/>
      <c r="B47" s="128">
        <v>35</v>
      </c>
      <c r="C47" s="265" t="s">
        <v>97</v>
      </c>
      <c r="D47" s="111" t="str">
        <f>+IFERROR(INDEX(Hoja1!$E$2:$E$45,MATCH('Análisis Resultados'!B47,Hoja1!$H$2:$H$45,0)),"")</f>
        <v>Controlar los puntos críticos en los procesos.</v>
      </c>
      <c r="E47" s="112" t="str">
        <f>+IFERROR(VLOOKUP(B47,Hoja1!$H$2:$I$45,2,0),"")</f>
        <v>No</v>
      </c>
      <c r="F47" s="113" t="str">
        <f t="shared" si="0"/>
        <v>No se encuentra el aspecto  por lo tanto la entidad debera generar acciones dirigidas a que se cumpla con el requerimiento.</v>
      </c>
      <c r="H47" s="129">
        <f t="shared" si="1"/>
        <v>0</v>
      </c>
      <c r="I47" s="268">
        <f>+AVERAGE(H47:H56)</f>
        <v>0.45</v>
      </c>
    </row>
    <row r="48" spans="1:9" ht="58.5" customHeight="1" x14ac:dyDescent="0.25">
      <c r="A48" s="1"/>
      <c r="B48" s="128">
        <v>36</v>
      </c>
      <c r="C48" s="266"/>
      <c r="D48" s="114" t="str">
        <f>+IFERROR(INDEX(Hoja1!$E$2:$E$45,MATCH('Análisis Resultados'!B48,Hoja1!$H$2:$H$45,0)),"")</f>
        <v>Diseñar acciones adecuadas para controlar los problemas que afectan el cumplimiento de las metas y objetivos institucionales (riesgos).</v>
      </c>
      <c r="E48" s="115" t="str">
        <f>+IFERROR(VLOOKUP(B48,Hoja1!$H$2:$I$45,2,0),"")</f>
        <v>No</v>
      </c>
      <c r="F48" s="116" t="str">
        <f t="shared" si="0"/>
        <v>No se encuentra el aspecto  por lo tanto la entidad debera generar acciones dirigidas a que se cumpla con el requerimiento.</v>
      </c>
      <c r="H48" s="130">
        <f t="shared" si="1"/>
        <v>0</v>
      </c>
      <c r="I48" s="269"/>
    </row>
    <row r="49" spans="2:9" s="1" customFormat="1" ht="84.75" customHeight="1" x14ac:dyDescent="0.25">
      <c r="B49" s="128">
        <v>37</v>
      </c>
      <c r="C49" s="266"/>
      <c r="D49" s="114" t="str">
        <f>+IFERROR(INDEX(Hoja1!$E$2:$E$45,MATCH('Análisis Resultados'!B49,Hoja1!$H$2:$H$45,0)),"")</f>
        <v>Ejecutar las acciones de acuerdo a como se diseñaron previamente.</v>
      </c>
      <c r="E49" s="115" t="str">
        <f>+IFERROR(VLOOKUP(B49,Hoja1!$H$2:$I$45,2,0),"")</f>
        <v>No</v>
      </c>
      <c r="F49" s="116" t="str">
        <f t="shared" si="0"/>
        <v>No se encuentra el aspecto  por lo tanto la entidad debera generar acciones dirigidas a que se cumpla con el requerimiento.</v>
      </c>
      <c r="H49" s="130">
        <f t="shared" si="1"/>
        <v>0</v>
      </c>
      <c r="I49" s="269"/>
    </row>
    <row r="50" spans="2:9" s="1" customFormat="1" ht="78.75" customHeight="1" x14ac:dyDescent="0.25">
      <c r="B50" s="128">
        <v>38</v>
      </c>
      <c r="C50" s="266"/>
      <c r="D50" s="114" t="str">
        <f>+IFERROR(INDEX(Hoja1!$E$2:$E$45,MATCH('Análisis Resultados'!B50,Hoja1!$H$2:$H$45,0)),"")</f>
        <v>No se gestionan los problemas que afectan el cumplimiento de las funciones y objetivos institucionales(riesgos).</v>
      </c>
      <c r="E50" s="115" t="str">
        <f>+IFERROR(VLOOKUP(B50,Hoja1!$H$2:$I$45,2,0),"")</f>
        <v>No</v>
      </c>
      <c r="F50" s="116" t="str">
        <f t="shared" si="0"/>
        <v>No se encuentra el aspecto  por lo tanto la entidad debera generar acciones dirigidas a que se cumpla con el requerimiento.</v>
      </c>
      <c r="H50" s="130">
        <f t="shared" si="1"/>
        <v>0</v>
      </c>
      <c r="I50" s="269"/>
    </row>
    <row r="51" spans="2:9" s="1" customFormat="1" ht="54.75" customHeight="1" x14ac:dyDescent="0.25">
      <c r="B51" s="128">
        <v>39</v>
      </c>
      <c r="C51" s="266"/>
      <c r="D51" s="114" t="str">
        <f>+IFERROR(INDEX(Hoja1!$E$2:$E$45,MATCH('Análisis Resultados'!B51,Hoja1!$H$2:$H$45,0)),"")</f>
        <v>Mecanismos de evaluación de la gestión (cronogramas, indicadores, listas de chequeo u otros)</v>
      </c>
      <c r="E51" s="115" t="str">
        <f>+IFERROR(VLOOKUP(B51,Hoja1!$H$2:$I$45,2,0),"")</f>
        <v>En proceso</v>
      </c>
      <c r="F51" s="116" t="str">
        <f t="shared" si="0"/>
        <v>Se encuentra en proceso, pero requiere continuar con acciones dirigidas a contar con dicho aspecto de control.</v>
      </c>
      <c r="H51" s="130">
        <f t="shared" si="1"/>
        <v>0.5</v>
      </c>
      <c r="I51" s="269"/>
    </row>
    <row r="52" spans="2:9" s="1" customFormat="1" ht="68.25" customHeight="1" x14ac:dyDescent="0.25">
      <c r="B52" s="128">
        <v>40</v>
      </c>
      <c r="C52" s="266"/>
      <c r="D52" s="114" t="str">
        <f>+IFERROR(INDEX(Hoja1!$E$2:$E$45,MATCH('Análisis Resultados'!B52,Hoja1!$H$2:$H$45,0)),"")</f>
        <v>Medidas correctivas en caso de detectarse deficiencias en los ejercicios de evaluación, seguimiento o auditoría</v>
      </c>
      <c r="E52" s="115" t="str">
        <f>+IFERROR(VLOOKUP(B52,Hoja1!$H$2:$I$45,2,0),"")</f>
        <v>En proceso</v>
      </c>
      <c r="F52" s="116" t="str">
        <f t="shared" si="0"/>
        <v>Se encuentra en proceso, pero requiere continuar con acciones dirigidas a contar con dicho aspecto de control.</v>
      </c>
      <c r="H52" s="130">
        <f t="shared" si="1"/>
        <v>0.5</v>
      </c>
      <c r="I52" s="269"/>
    </row>
    <row r="53" spans="2:9" s="1" customFormat="1" ht="45" customHeight="1" x14ac:dyDescent="0.25">
      <c r="B53" s="128">
        <v>41</v>
      </c>
      <c r="C53" s="266"/>
      <c r="D53" s="114" t="str">
        <f>+IFERROR(INDEX(Hoja1!$E$2:$E$45,MATCH('Análisis Resultados'!B53,Hoja1!$H$2:$H$45,0)),"")</f>
        <v>Evitar que los problemas (riesgos) obstaculicen el cumplimiento de los objetivos.</v>
      </c>
      <c r="E53" s="115" t="str">
        <f>+IFERROR(VLOOKUP(B53,Hoja1!$H$2:$I$45,2,0),"")</f>
        <v>En proceso</v>
      </c>
      <c r="F53" s="116" t="str">
        <f t="shared" si="0"/>
        <v>Se encuentra en proceso, pero requiere continuar con acciones dirigidas a contar con dicho aspecto de control.</v>
      </c>
      <c r="H53" s="130">
        <f t="shared" si="1"/>
        <v>0.5</v>
      </c>
      <c r="I53" s="269"/>
    </row>
    <row r="54" spans="2:9" s="1" customFormat="1" ht="51.75" customHeight="1" x14ac:dyDescent="0.25">
      <c r="B54" s="128">
        <v>42</v>
      </c>
      <c r="C54" s="266"/>
      <c r="D54" s="114" t="str">
        <f>+IFERROR(INDEX(Hoja1!$E$2:$E$45,MATCH('Análisis Resultados'!B54,Hoja1!$H$2:$H$45,0)),"")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E54" s="115" t="str">
        <f>+IFERROR(VLOOKUP(B54,Hoja1!$H$2:$I$45,2,0),"")</f>
        <v>Si</v>
      </c>
      <c r="F54" s="116" t="str">
        <f t="shared" si="0"/>
        <v>Existe requerimiento pero se requiere actividades  dirigidas a su mantenimiento dentro del marco de las lineas de defensa.</v>
      </c>
      <c r="H54" s="130">
        <f t="shared" si="1"/>
        <v>1</v>
      </c>
      <c r="I54" s="269"/>
    </row>
    <row r="55" spans="2:9" s="1" customFormat="1" ht="84" customHeight="1" x14ac:dyDescent="0.25">
      <c r="B55" s="128">
        <v>43</v>
      </c>
      <c r="C55" s="266"/>
      <c r="D55" s="114" t="str">
        <f>+IFERROR(INDEX(Hoja1!$E$2:$E$45,MATCH('Análisis Resultados'!B55,Hoja1!$H$2:$H$45,0)),"")</f>
        <v>Seguimiento a los planes de mejoramiento suscritos con instancias de control internas o externas</v>
      </c>
      <c r="E55" s="115" t="str">
        <f>+IFERROR(VLOOKUP(B55,Hoja1!$H$2:$I$45,2,0),"")</f>
        <v>Si</v>
      </c>
      <c r="F55" s="116" t="str">
        <f t="shared" si="0"/>
        <v>Existe requerimiento pero se requiere actividades  dirigidas a su mantenimiento dentro del marco de las lineas de defensa.</v>
      </c>
      <c r="H55" s="130">
        <f t="shared" si="1"/>
        <v>1</v>
      </c>
      <c r="I55" s="269"/>
    </row>
    <row r="56" spans="2:9" s="1" customFormat="1" ht="60" customHeight="1" thickBot="1" x14ac:dyDescent="0.3">
      <c r="B56" s="128">
        <v>44</v>
      </c>
      <c r="C56" s="267"/>
      <c r="D56" s="117" t="str">
        <f>+IFERROR(INDEX(Hoja1!$E$2:$E$45,MATCH('Análisis Resultados'!B56,Hoja1!$H$2:$H$45,0)),"")</f>
        <v>La entidad participa en el  Comité Municipal de Auditoría?</v>
      </c>
      <c r="E56" s="118" t="str">
        <f>+IFERROR(VLOOKUP(B56,Hoja1!$H$2:$I$45,2,0),"")</f>
        <v>Si</v>
      </c>
      <c r="F56" s="119" t="str">
        <f t="shared" si="0"/>
        <v>Existe requerimiento pero se requiere actividades  dirigidas a su mantenimiento dentro del marco de las lineas de defensa.</v>
      </c>
      <c r="H56" s="131">
        <f t="shared" si="1"/>
        <v>1</v>
      </c>
      <c r="I56" s="270"/>
    </row>
    <row r="57" spans="2:9" s="1" customFormat="1" x14ac:dyDescent="0.25"/>
    <row r="58" spans="2:9" s="1" customFormat="1" x14ac:dyDescent="0.25"/>
    <row r="59" spans="2:9" s="1" customFormat="1" x14ac:dyDescent="0.25"/>
  </sheetData>
  <sheetProtection formatCells="0"/>
  <mergeCells count="25">
    <mergeCell ref="B3:I3"/>
    <mergeCell ref="B5:C5"/>
    <mergeCell ref="D5:E5"/>
    <mergeCell ref="B6:C6"/>
    <mergeCell ref="D6:E6"/>
    <mergeCell ref="B7:C7"/>
    <mergeCell ref="D7:E7"/>
    <mergeCell ref="I11:I12"/>
    <mergeCell ref="C13:C24"/>
    <mergeCell ref="B11:B12"/>
    <mergeCell ref="C11:D11"/>
    <mergeCell ref="E11:E12"/>
    <mergeCell ref="F11:F12"/>
    <mergeCell ref="H11:H12"/>
    <mergeCell ref="I25:I34"/>
    <mergeCell ref="B8:C8"/>
    <mergeCell ref="D8:E8"/>
    <mergeCell ref="I13:I24"/>
    <mergeCell ref="C47:C56"/>
    <mergeCell ref="I47:I56"/>
    <mergeCell ref="C40:C46"/>
    <mergeCell ref="I40:I46"/>
    <mergeCell ref="C35:C39"/>
    <mergeCell ref="I35:I39"/>
    <mergeCell ref="C25:C34"/>
  </mergeCells>
  <conditionalFormatting sqref="H13:H56">
    <cfRule type="cellIs" dxfId="16" priority="4" operator="between">
      <formula>0.75</formula>
      <formula>1</formula>
    </cfRule>
    <cfRule type="cellIs" dxfId="15" priority="5" operator="between">
      <formula>0.5</formula>
      <formula>0.74</formula>
    </cfRule>
    <cfRule type="cellIs" dxfId="14" priority="6" operator="between">
      <formula>0</formula>
      <formula>0.49</formula>
    </cfRule>
  </conditionalFormatting>
  <conditionalFormatting sqref="I13:I25 I35 I40 I47">
    <cfRule type="cellIs" priority="1" operator="between">
      <formula>0.75</formula>
      <formula>1</formula>
    </cfRule>
    <cfRule type="cellIs" dxfId="13" priority="2" operator="between">
      <formula>0.5</formula>
      <formula>0.75</formula>
    </cfRule>
    <cfRule type="cellIs" dxfId="12" priority="3" operator="between">
      <formula>0</formula>
      <formula>0.49</formula>
    </cfRule>
  </conditionalFormatting>
  <pageMargins left="1.5748031496062993" right="0.51181102362204722" top="0.35433070866141736" bottom="0.74803149606299213" header="0.31496062992125984" footer="0.31496062992125984"/>
  <pageSetup paperSize="5" scale="83" orientation="landscape" r:id="rId1"/>
  <headerFooter>
    <oddFooter>Página &amp;P&amp;R&amp;A</oddFooter>
  </headerFooter>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NOT(ISERROR(SEARCH($D$8,F13)))</xm:f>
            <xm:f>$D$8</xm:f>
            <x14:dxf>
              <fill>
                <patternFill>
                  <bgColor rgb="FFFF0000"/>
                </patternFill>
              </fill>
            </x14:dxf>
          </x14:cfRule>
          <x14:cfRule type="containsText" priority="8" operator="containsText" id="{D802A135-824D-43A0-835B-FE63514274DE}">
            <xm:f>NOT(ISERROR(SEARCH($D$7,F13)))</xm:f>
            <xm:f>$D$7</xm:f>
            <x14:dxf>
              <fill>
                <patternFill>
                  <bgColor rgb="FFFFFF00"/>
                </patternFill>
              </fill>
            </x14:dxf>
          </x14:cfRule>
          <x14:cfRule type="containsText" priority="9" operator="containsText" id="{D7844022-1CB2-4683-9B09-8D3EA8F0FDED}">
            <xm:f>NOT(ISERROR(SEARCH($D$6,F13)))</xm:f>
            <xm:f>$D$6</xm:f>
            <x14:dxf>
              <fill>
                <patternFill>
                  <bgColor rgb="FF00B050"/>
                </patternFill>
              </fill>
            </x14:dxf>
          </x14:cfRule>
          <xm:sqref>F13:F56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1"/>
  <sheetViews>
    <sheetView zoomScale="50" zoomScaleNormal="50" workbookViewId="0">
      <selection activeCell="F6" sqref="F6:M6"/>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1"/>
      <c r="D4" s="1"/>
      <c r="E4" s="297" t="s">
        <v>124</v>
      </c>
      <c r="F4" s="299" t="s">
        <v>193</v>
      </c>
      <c r="G4" s="299"/>
      <c r="H4" s="299"/>
      <c r="I4" s="299"/>
      <c r="J4" s="299"/>
      <c r="K4" s="299"/>
      <c r="L4" s="299"/>
      <c r="M4" s="299"/>
      <c r="N4" s="6"/>
      <c r="O4" s="6"/>
      <c r="P4" s="7"/>
      <c r="Q4" s="1"/>
    </row>
    <row r="5" spans="1:17" ht="45.75" customHeight="1" x14ac:dyDescent="0.3">
      <c r="A5" s="1"/>
      <c r="B5" s="5"/>
      <c r="C5" s="1"/>
      <c r="D5" s="1"/>
      <c r="E5" s="298"/>
      <c r="F5" s="299"/>
      <c r="G5" s="299"/>
      <c r="H5" s="299"/>
      <c r="I5" s="299"/>
      <c r="J5" s="299"/>
      <c r="K5" s="299"/>
      <c r="L5" s="299"/>
      <c r="M5" s="299"/>
      <c r="N5" s="6"/>
      <c r="O5" s="6"/>
      <c r="P5" s="7"/>
      <c r="Q5" s="1"/>
    </row>
    <row r="6" spans="1:17" ht="66.75" customHeight="1" x14ac:dyDescent="0.3">
      <c r="A6" s="1"/>
      <c r="B6" s="5"/>
      <c r="C6" s="1"/>
      <c r="D6" s="1"/>
      <c r="E6" s="88" t="s">
        <v>125</v>
      </c>
      <c r="F6" s="300" t="s">
        <v>239</v>
      </c>
      <c r="G6" s="301"/>
      <c r="H6" s="301"/>
      <c r="I6" s="301"/>
      <c r="J6" s="301"/>
      <c r="K6" s="301"/>
      <c r="L6" s="301"/>
      <c r="M6" s="302"/>
      <c r="N6" s="8"/>
      <c r="O6" s="8"/>
      <c r="P6" s="7"/>
      <c r="Q6" s="1"/>
    </row>
    <row r="7" spans="1:17" ht="17.25" thickBot="1" x14ac:dyDescent="0.35">
      <c r="A7" s="1"/>
      <c r="B7" s="5"/>
      <c r="C7" s="1"/>
      <c r="D7" s="1"/>
      <c r="E7" s="9"/>
      <c r="F7" s="8"/>
      <c r="G7" s="8"/>
      <c r="H7" s="8"/>
      <c r="I7" s="8"/>
      <c r="J7" s="8"/>
      <c r="K7" s="8"/>
      <c r="L7" s="8"/>
      <c r="M7" s="1"/>
      <c r="N7" s="1"/>
      <c r="O7" s="1"/>
      <c r="P7" s="7"/>
      <c r="Q7" s="1"/>
    </row>
    <row r="8" spans="1:17" ht="97.5" customHeight="1" thickBot="1" x14ac:dyDescent="0.3">
      <c r="A8" s="1"/>
      <c r="B8" s="5"/>
      <c r="C8" s="1"/>
      <c r="D8" s="1"/>
      <c r="E8" s="1"/>
      <c r="F8" s="1"/>
      <c r="G8" s="1"/>
      <c r="H8" s="1"/>
      <c r="I8" s="303" t="s">
        <v>126</v>
      </c>
      <c r="J8" s="304"/>
      <c r="K8" s="305"/>
      <c r="L8" s="1"/>
      <c r="M8" s="136">
        <f>+AVERAGE(G26,G28,G30,G32,G34)</f>
        <v>0.61571428571428577</v>
      </c>
      <c r="N8" s="10"/>
      <c r="O8" s="10"/>
      <c r="P8" s="7"/>
      <c r="Q8" s="1"/>
    </row>
    <row r="9" spans="1:17" ht="15.75" x14ac:dyDescent="0.25">
      <c r="A9" s="1"/>
      <c r="B9" s="5"/>
      <c r="C9" s="1"/>
      <c r="D9" s="1"/>
      <c r="E9" s="1"/>
      <c r="F9" s="1"/>
      <c r="G9" s="1"/>
      <c r="H9" s="1"/>
      <c r="I9" s="1"/>
      <c r="J9" s="1"/>
      <c r="K9" s="1"/>
      <c r="L9" s="1"/>
      <c r="M9" s="11"/>
      <c r="N9" s="11"/>
      <c r="O9" s="11"/>
      <c r="P9" s="7"/>
      <c r="Q9" s="1"/>
    </row>
    <row r="10" spans="1:17" x14ac:dyDescent="0.25">
      <c r="A10" s="1"/>
      <c r="B10" s="5"/>
      <c r="C10" s="1"/>
      <c r="D10" s="1"/>
      <c r="E10" s="1"/>
      <c r="F10" s="1"/>
      <c r="G10" s="1"/>
      <c r="H10" s="1"/>
      <c r="I10" s="1"/>
      <c r="J10" s="1"/>
      <c r="K10" s="1"/>
      <c r="L10" s="1"/>
      <c r="M10" s="1"/>
      <c r="N10" s="1"/>
      <c r="O10" s="1"/>
      <c r="P10" s="7"/>
      <c r="Q10" s="1"/>
    </row>
    <row r="11" spans="1:17" x14ac:dyDescent="0.25">
      <c r="A11" s="1"/>
      <c r="B11" s="5"/>
      <c r="C11" s="1"/>
      <c r="D11" s="1"/>
      <c r="E11" s="1"/>
      <c r="F11" s="1"/>
      <c r="G11" s="1"/>
      <c r="H11" s="1"/>
      <c r="I11" s="1"/>
      <c r="J11" s="1"/>
      <c r="K11" s="1"/>
      <c r="L11" s="1"/>
      <c r="M11" s="1"/>
      <c r="N11" s="1"/>
      <c r="O11" s="1"/>
      <c r="P11" s="7"/>
      <c r="Q11" s="1"/>
    </row>
    <row r="12" spans="1:17" x14ac:dyDescent="0.25">
      <c r="A12" s="1"/>
      <c r="B12" s="5"/>
      <c r="C12" s="1"/>
      <c r="D12" s="1"/>
      <c r="E12" s="1"/>
      <c r="F12" s="1"/>
      <c r="G12" s="1"/>
      <c r="H12" s="1"/>
      <c r="I12" s="1"/>
      <c r="J12" s="1"/>
      <c r="K12" s="1"/>
      <c r="L12" s="1"/>
      <c r="M12" s="1"/>
      <c r="N12" s="1"/>
      <c r="O12" s="1"/>
      <c r="P12" s="7"/>
      <c r="Q12" s="1"/>
    </row>
    <row r="13" spans="1:17" x14ac:dyDescent="0.25">
      <c r="A13" s="1"/>
      <c r="B13" s="5"/>
      <c r="C13" s="1"/>
      <c r="D13" s="1"/>
      <c r="E13" s="1"/>
      <c r="F13" s="1"/>
      <c r="G13" s="1"/>
      <c r="H13" s="1"/>
      <c r="I13" s="1"/>
      <c r="J13" s="1"/>
      <c r="K13" s="1"/>
      <c r="L13" s="1"/>
      <c r="M13" s="1"/>
      <c r="N13" s="1"/>
      <c r="O13" s="1"/>
      <c r="P13" s="7"/>
      <c r="Q13" s="1"/>
    </row>
    <row r="14" spans="1:17" x14ac:dyDescent="0.25">
      <c r="A14" s="1"/>
      <c r="B14" s="5"/>
      <c r="C14" s="1"/>
      <c r="D14" s="1"/>
      <c r="E14" s="1"/>
      <c r="F14" s="1"/>
      <c r="G14" s="1"/>
      <c r="H14" s="1"/>
      <c r="I14" s="1"/>
      <c r="J14" s="1"/>
      <c r="K14" s="1"/>
      <c r="L14" s="1"/>
      <c r="M14" s="1"/>
      <c r="N14" s="1"/>
      <c r="O14" s="1"/>
      <c r="P14" s="7"/>
      <c r="Q14" s="1"/>
    </row>
    <row r="15" spans="1:17" x14ac:dyDescent="0.25">
      <c r="A15" s="1"/>
      <c r="B15" s="5"/>
      <c r="C15" s="1"/>
      <c r="D15" s="1"/>
      <c r="E15" s="1"/>
      <c r="F15" s="1"/>
      <c r="G15" s="1"/>
      <c r="H15" s="1"/>
      <c r="I15" s="1"/>
      <c r="J15" s="1"/>
      <c r="K15" s="1"/>
      <c r="L15" s="1"/>
      <c r="M15" s="1"/>
      <c r="N15" s="1"/>
      <c r="O15" s="1"/>
      <c r="P15" s="7"/>
      <c r="Q15" s="1"/>
    </row>
    <row r="16" spans="1:17" x14ac:dyDescent="0.25">
      <c r="A16" s="1"/>
      <c r="B16" s="5"/>
      <c r="C16" s="1"/>
      <c r="D16" s="1"/>
      <c r="E16" s="1"/>
      <c r="F16" s="1"/>
      <c r="G16" s="1"/>
      <c r="H16" s="1"/>
      <c r="I16" s="1"/>
      <c r="J16" s="1"/>
      <c r="K16" s="1"/>
      <c r="L16" s="1"/>
      <c r="M16" s="1"/>
      <c r="N16" s="1"/>
      <c r="O16" s="1"/>
      <c r="P16" s="7"/>
      <c r="Q16" s="1"/>
    </row>
    <row r="17" spans="1:17" x14ac:dyDescent="0.25">
      <c r="A17" s="1"/>
      <c r="B17" s="5"/>
      <c r="C17" s="1"/>
      <c r="D17" s="1"/>
      <c r="E17" s="1"/>
      <c r="F17" s="1"/>
      <c r="G17" s="1"/>
      <c r="H17" s="1"/>
      <c r="I17" s="1"/>
      <c r="J17" s="1"/>
      <c r="K17" s="1"/>
      <c r="L17" s="1"/>
      <c r="M17" s="1"/>
      <c r="N17" s="1"/>
      <c r="O17" s="1"/>
      <c r="P17" s="7"/>
      <c r="Q17" s="1"/>
    </row>
    <row r="18" spans="1:17" ht="23.25" x14ac:dyDescent="0.25">
      <c r="A18" s="1"/>
      <c r="B18" s="5"/>
      <c r="C18" s="306" t="s">
        <v>127</v>
      </c>
      <c r="D18" s="307"/>
      <c r="E18" s="307"/>
      <c r="F18" s="307"/>
      <c r="G18" s="307"/>
      <c r="H18" s="307"/>
      <c r="I18" s="307"/>
      <c r="J18" s="307"/>
      <c r="K18" s="307"/>
      <c r="L18" s="307"/>
      <c r="M18" s="308"/>
      <c r="N18" s="12"/>
      <c r="O18" s="12"/>
      <c r="P18" s="7"/>
      <c r="Q18" s="1"/>
    </row>
    <row r="19" spans="1:17" ht="16.5" thickBot="1" x14ac:dyDescent="0.3">
      <c r="A19" s="1"/>
      <c r="B19" s="5"/>
      <c r="C19" s="13"/>
      <c r="D19" s="13"/>
      <c r="E19" s="13"/>
      <c r="F19" s="13"/>
      <c r="G19" s="13"/>
      <c r="H19" s="13"/>
      <c r="I19" s="13"/>
      <c r="J19" s="13"/>
      <c r="K19" s="13"/>
      <c r="L19" s="13"/>
      <c r="M19" s="13"/>
      <c r="N19" s="14"/>
      <c r="O19" s="14"/>
      <c r="P19" s="7"/>
      <c r="Q19" s="1"/>
    </row>
    <row r="20" spans="1:17" ht="150" customHeight="1" x14ac:dyDescent="0.25">
      <c r="A20" s="1"/>
      <c r="B20" s="5"/>
      <c r="C20" s="309" t="s">
        <v>128</v>
      </c>
      <c r="D20" s="310"/>
      <c r="E20" s="139" t="s">
        <v>36</v>
      </c>
      <c r="F20" s="311" t="s">
        <v>216</v>
      </c>
      <c r="G20" s="311"/>
      <c r="H20" s="311"/>
      <c r="I20" s="311"/>
      <c r="J20" s="311"/>
      <c r="K20" s="311"/>
      <c r="L20" s="311"/>
      <c r="M20" s="312"/>
      <c r="N20" s="14"/>
      <c r="O20" s="14"/>
      <c r="P20" s="7"/>
      <c r="Q20" s="1"/>
    </row>
    <row r="21" spans="1:17" ht="126.75" customHeight="1" x14ac:dyDescent="0.25">
      <c r="A21" s="1"/>
      <c r="B21" s="5"/>
      <c r="C21" s="293" t="s">
        <v>129</v>
      </c>
      <c r="D21" s="294"/>
      <c r="E21" s="140" t="s">
        <v>36</v>
      </c>
      <c r="F21" s="313" t="s">
        <v>217</v>
      </c>
      <c r="G21" s="313"/>
      <c r="H21" s="313"/>
      <c r="I21" s="313"/>
      <c r="J21" s="313"/>
      <c r="K21" s="313"/>
      <c r="L21" s="313"/>
      <c r="M21" s="314"/>
      <c r="N21" s="14"/>
      <c r="O21" s="14"/>
      <c r="P21" s="7"/>
      <c r="Q21" s="1"/>
    </row>
    <row r="22" spans="1:17" ht="151.5" customHeight="1" thickBot="1" x14ac:dyDescent="0.3">
      <c r="A22" s="1"/>
      <c r="B22" s="5"/>
      <c r="C22" s="295" t="s">
        <v>130</v>
      </c>
      <c r="D22" s="296"/>
      <c r="E22" s="141" t="s">
        <v>36</v>
      </c>
      <c r="F22" s="315" t="s">
        <v>218</v>
      </c>
      <c r="G22" s="315"/>
      <c r="H22" s="315"/>
      <c r="I22" s="315"/>
      <c r="J22" s="315"/>
      <c r="K22" s="315"/>
      <c r="L22" s="315"/>
      <c r="M22" s="316"/>
      <c r="N22" s="14"/>
      <c r="O22" s="14"/>
      <c r="P22" s="7"/>
      <c r="Q22" s="1"/>
    </row>
    <row r="23" spans="1:17" x14ac:dyDescent="0.25">
      <c r="A23" s="1"/>
      <c r="B23" s="5"/>
      <c r="C23" s="1"/>
      <c r="D23" s="1"/>
      <c r="E23" s="1"/>
      <c r="F23" s="1"/>
      <c r="G23" s="15"/>
      <c r="H23" s="1"/>
      <c r="I23" s="1"/>
      <c r="J23" s="1"/>
      <c r="K23" s="1"/>
      <c r="L23" s="1"/>
      <c r="M23" s="1"/>
      <c r="N23" s="1"/>
      <c r="O23" s="1"/>
      <c r="P23" s="7"/>
      <c r="Q23" s="1"/>
    </row>
    <row r="24" spans="1:17" ht="78.75" x14ac:dyDescent="0.25">
      <c r="A24" s="1"/>
      <c r="B24" s="5"/>
      <c r="C24" s="91" t="s">
        <v>131</v>
      </c>
      <c r="D24" s="92"/>
      <c r="E24" s="91" t="s">
        <v>132</v>
      </c>
      <c r="F24" s="92"/>
      <c r="G24" s="91" t="s">
        <v>133</v>
      </c>
      <c r="H24" s="92"/>
      <c r="I24" s="323" t="s">
        <v>134</v>
      </c>
      <c r="J24" s="323"/>
      <c r="K24" s="323"/>
      <c r="L24" s="323"/>
      <c r="M24" s="323"/>
      <c r="N24" s="30"/>
      <c r="O24" s="30"/>
      <c r="P24" s="7"/>
      <c r="Q24" s="16"/>
    </row>
    <row r="25" spans="1:17" ht="13.5" customHeight="1" thickBot="1" x14ac:dyDescent="0.3">
      <c r="A25" s="1"/>
      <c r="B25" s="5"/>
      <c r="C25" s="29"/>
      <c r="I25" s="327"/>
      <c r="J25" s="327"/>
      <c r="K25" s="327"/>
      <c r="L25" s="327"/>
      <c r="M25" s="327"/>
      <c r="N25" s="31"/>
      <c r="O25" s="31"/>
      <c r="P25" s="7"/>
      <c r="Q25" s="1"/>
    </row>
    <row r="26" spans="1:17" ht="314.25" customHeight="1" thickBot="1" x14ac:dyDescent="0.3">
      <c r="A26" s="1"/>
      <c r="B26" s="5"/>
      <c r="C26" s="82" t="s">
        <v>32</v>
      </c>
      <c r="D26" s="17"/>
      <c r="E26" s="137" t="str">
        <f>+IF(Hoja1!K2&gt;=0.5,"Si","No")</f>
        <v>Si</v>
      </c>
      <c r="F26" s="18"/>
      <c r="G26" s="138">
        <f>+Hoja1!K2</f>
        <v>0.75</v>
      </c>
      <c r="H26" s="18"/>
      <c r="I26" s="324" t="s">
        <v>236</v>
      </c>
      <c r="J26" s="325"/>
      <c r="K26" s="325"/>
      <c r="L26" s="325"/>
      <c r="M26" s="326"/>
      <c r="N26" s="32"/>
      <c r="O26" s="33"/>
      <c r="P26" s="19"/>
      <c r="Q26" s="20"/>
    </row>
    <row r="27" spans="1:17" ht="27" thickBot="1" x14ac:dyDescent="0.45">
      <c r="A27" s="1"/>
      <c r="B27" s="5"/>
      <c r="C27" s="83"/>
      <c r="E27" s="90"/>
      <c r="G27" s="21"/>
      <c r="I27" s="328"/>
      <c r="J27" s="328"/>
      <c r="K27" s="328"/>
      <c r="L27" s="328"/>
      <c r="M27" s="328"/>
      <c r="N27" s="34"/>
      <c r="O27" s="34"/>
      <c r="P27" s="7"/>
      <c r="Q27" s="1"/>
    </row>
    <row r="28" spans="1:17" ht="269.25" customHeight="1" thickBot="1" x14ac:dyDescent="0.3">
      <c r="A28" s="1"/>
      <c r="B28" s="5"/>
      <c r="C28" s="84" t="s">
        <v>135</v>
      </c>
      <c r="D28" s="17"/>
      <c r="E28" s="137" t="str">
        <f>+IF(Hoja1!K14&gt;=0.5,"Si","No")</f>
        <v>Si</v>
      </c>
      <c r="G28" s="138">
        <f>+Hoja1!K14</f>
        <v>0.75</v>
      </c>
      <c r="I28" s="317" t="s">
        <v>237</v>
      </c>
      <c r="J28" s="318"/>
      <c r="K28" s="318"/>
      <c r="L28" s="318"/>
      <c r="M28" s="319"/>
      <c r="N28" s="32"/>
      <c r="O28" s="32"/>
      <c r="P28" s="7"/>
      <c r="Q28" s="1"/>
    </row>
    <row r="29" spans="1:17" ht="27" thickBot="1" x14ac:dyDescent="0.45">
      <c r="A29" s="1"/>
      <c r="B29" s="5"/>
      <c r="C29" s="83"/>
      <c r="E29" s="90"/>
      <c r="G29" s="21"/>
      <c r="I29" s="328"/>
      <c r="J29" s="328"/>
      <c r="K29" s="328"/>
      <c r="L29" s="328"/>
      <c r="M29" s="328"/>
      <c r="N29" s="34"/>
      <c r="O29" s="34"/>
      <c r="P29" s="7"/>
      <c r="Q29" s="1"/>
    </row>
    <row r="30" spans="1:17" ht="341.25" customHeight="1" thickBot="1" x14ac:dyDescent="0.3">
      <c r="A30" s="1"/>
      <c r="B30" s="5"/>
      <c r="C30" s="85" t="s">
        <v>136</v>
      </c>
      <c r="D30" s="17"/>
      <c r="E30" s="137" t="str">
        <f>+IF(Hoja1!K24&gt;=0.5,"Si","No")</f>
        <v>Si</v>
      </c>
      <c r="G30" s="138">
        <f>+Hoja1!K24</f>
        <v>0.7</v>
      </c>
      <c r="I30" s="317" t="s">
        <v>223</v>
      </c>
      <c r="J30" s="320"/>
      <c r="K30" s="320"/>
      <c r="L30" s="320"/>
      <c r="M30" s="321"/>
      <c r="N30" s="32"/>
      <c r="O30" s="32"/>
      <c r="P30" s="7"/>
      <c r="Q30" s="1"/>
    </row>
    <row r="31" spans="1:17" ht="27" thickBot="1" x14ac:dyDescent="0.45">
      <c r="A31" s="1"/>
      <c r="B31" s="5"/>
      <c r="C31" s="83"/>
      <c r="E31" s="90"/>
      <c r="G31" s="21"/>
      <c r="I31" s="328"/>
      <c r="J31" s="328"/>
      <c r="K31" s="328"/>
      <c r="L31" s="328"/>
      <c r="M31" s="328"/>
      <c r="N31" s="34"/>
      <c r="O31" s="34"/>
      <c r="P31" s="7"/>
      <c r="Q31" s="1"/>
    </row>
    <row r="32" spans="1:17" ht="409.5" customHeight="1" thickBot="1" x14ac:dyDescent="0.3">
      <c r="A32" s="1"/>
      <c r="B32" s="5"/>
      <c r="C32" s="86" t="s">
        <v>87</v>
      </c>
      <c r="D32" s="17"/>
      <c r="E32" s="137" t="str">
        <f>+IF(Hoja1!K29&gt;=0.5,"Si","No")</f>
        <v>No</v>
      </c>
      <c r="G32" s="138">
        <f>+Hoja1!K29</f>
        <v>0.42857142857142855</v>
      </c>
      <c r="I32" s="322" t="s">
        <v>238</v>
      </c>
      <c r="J32" s="318"/>
      <c r="K32" s="318"/>
      <c r="L32" s="318"/>
      <c r="M32" s="319"/>
      <c r="N32" s="32"/>
      <c r="O32" s="32"/>
      <c r="P32" s="7"/>
      <c r="Q32" s="1"/>
    </row>
    <row r="33" spans="1:17" ht="27" thickBot="1" x14ac:dyDescent="0.45">
      <c r="A33" s="1"/>
      <c r="B33" s="5"/>
      <c r="C33" s="83"/>
      <c r="E33" s="90"/>
      <c r="G33" s="21"/>
      <c r="I33" s="328"/>
      <c r="J33" s="328"/>
      <c r="K33" s="328"/>
      <c r="L33" s="328"/>
      <c r="M33" s="328"/>
      <c r="N33" s="34"/>
      <c r="O33" s="34"/>
      <c r="P33" s="7"/>
      <c r="Q33" s="1"/>
    </row>
    <row r="34" spans="1:17" ht="408.75" customHeight="1" thickBot="1" x14ac:dyDescent="0.3">
      <c r="A34" s="1"/>
      <c r="B34" s="5"/>
      <c r="C34" s="87" t="s">
        <v>137</v>
      </c>
      <c r="D34" s="17"/>
      <c r="E34" s="89" t="str">
        <f>+IF(Hoja1!K36&gt;=0.5,"Si","No")</f>
        <v>No</v>
      </c>
      <c r="G34" s="138">
        <f>+Hoja1!K36</f>
        <v>0.45</v>
      </c>
      <c r="I34" s="317" t="s">
        <v>224</v>
      </c>
      <c r="J34" s="318"/>
      <c r="K34" s="318"/>
      <c r="L34" s="318"/>
      <c r="M34" s="319"/>
      <c r="N34" s="32"/>
      <c r="O34" s="32"/>
      <c r="P34" s="7"/>
      <c r="Q34" s="1"/>
    </row>
    <row r="35" spans="1:17" ht="15.75" x14ac:dyDescent="0.25">
      <c r="A35" s="1"/>
      <c r="B35" s="5"/>
      <c r="C35" s="22"/>
      <c r="D35" s="22"/>
      <c r="E35" s="14"/>
      <c r="F35" s="1"/>
      <c r="G35" s="1"/>
      <c r="H35" s="1"/>
      <c r="I35" s="1"/>
      <c r="J35" s="1"/>
      <c r="K35" s="1"/>
      <c r="L35" s="1"/>
      <c r="M35" s="23"/>
      <c r="N35" s="23"/>
      <c r="O35" s="23"/>
      <c r="P35" s="7"/>
      <c r="Q35" s="1"/>
    </row>
    <row r="36" spans="1:17" ht="15.75" x14ac:dyDescent="0.25">
      <c r="A36" s="1"/>
      <c r="B36" s="5"/>
      <c r="C36" s="24"/>
      <c r="D36" s="22"/>
      <c r="E36" s="14"/>
      <c r="F36" s="1"/>
      <c r="G36" s="1"/>
      <c r="H36" s="1"/>
      <c r="I36" s="1"/>
      <c r="J36" s="1"/>
      <c r="K36" s="1"/>
      <c r="L36" s="1"/>
      <c r="M36" s="23"/>
      <c r="N36" s="23"/>
      <c r="O36" s="23"/>
      <c r="P36" s="7"/>
      <c r="Q36" s="1"/>
    </row>
    <row r="37" spans="1:17" x14ac:dyDescent="0.25">
      <c r="A37" s="1"/>
      <c r="B37" s="5"/>
      <c r="C37" s="25"/>
      <c r="D37" s="1"/>
      <c r="E37" s="1"/>
      <c r="F37" s="1"/>
      <c r="G37" s="1"/>
      <c r="H37" s="1"/>
      <c r="I37" s="1"/>
      <c r="J37" s="1"/>
      <c r="K37" s="1"/>
      <c r="L37" s="1"/>
      <c r="M37" s="1"/>
      <c r="N37" s="1"/>
      <c r="O37" s="1"/>
      <c r="P37" s="7"/>
      <c r="Q37" s="1"/>
    </row>
    <row r="38" spans="1:17" ht="15.75" thickBot="1" x14ac:dyDescent="0.3">
      <c r="A38" s="1"/>
      <c r="B38" s="26"/>
      <c r="C38" s="27"/>
      <c r="D38" s="27"/>
      <c r="E38" s="27"/>
      <c r="F38" s="27"/>
      <c r="G38" s="27"/>
      <c r="H38" s="27"/>
      <c r="I38" s="27"/>
      <c r="J38" s="27"/>
      <c r="K38" s="27"/>
      <c r="L38" s="27"/>
      <c r="M38" s="27"/>
      <c r="N38" s="27"/>
      <c r="O38" s="27"/>
      <c r="P38" s="28"/>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sheet="1" objects="1" scenarios="1" formatCells="0" formatRows="0"/>
  <mergeCells count="22">
    <mergeCell ref="I34:M34"/>
    <mergeCell ref="I30:M30"/>
    <mergeCell ref="I32:M32"/>
    <mergeCell ref="I24:M24"/>
    <mergeCell ref="I26:M26"/>
    <mergeCell ref="I28:M28"/>
    <mergeCell ref="I25:M25"/>
    <mergeCell ref="I27:M27"/>
    <mergeCell ref="I29:M29"/>
    <mergeCell ref="I31:M31"/>
    <mergeCell ref="I33:M33"/>
    <mergeCell ref="C21:D21"/>
    <mergeCell ref="C22:D22"/>
    <mergeCell ref="E4:E5"/>
    <mergeCell ref="F4:M5"/>
    <mergeCell ref="F6:M6"/>
    <mergeCell ref="I8:K8"/>
    <mergeCell ref="C18:M18"/>
    <mergeCell ref="C20:D20"/>
    <mergeCell ref="F20:M20"/>
    <mergeCell ref="F21:M21"/>
    <mergeCell ref="F22:M22"/>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5" priority="1" operator="between">
      <formula>0.75</formula>
      <formula>1</formula>
    </cfRule>
    <cfRule type="cellIs" dxfId="4" priority="2" operator="between">
      <formula>0.5</formula>
      <formula>0.75</formula>
    </cfRule>
    <cfRule type="cellIs" dxfId="3" priority="3" operator="between">
      <formula>0</formula>
      <formula>0.49</formula>
    </cfRule>
    <cfRule type="cellIs" priority="27" operator="between">
      <formula>0.76</formula>
      <formula>1</formula>
    </cfRule>
    <cfRule type="cellIs" dxfId="2" priority="28" operator="between">
      <formula>0.51</formula>
      <formula>0.75</formula>
    </cfRule>
    <cfRule type="cellIs" dxfId="1" priority="29" operator="between">
      <formula>0.26</formula>
      <formula>0.5</formula>
    </cfRule>
    <cfRule type="cellIs" dxfId="0" priority="30" operator="between">
      <formula>0</formula>
      <formula>0.25</formula>
    </cfRule>
  </conditionalFormatting>
  <dataValidations count="3">
    <dataValidation type="list" allowBlank="1" showInputMessage="1" showErrorMessage="1" sqref="E21:E22" xr:uid="{00000000-0002-0000-0300-000000000000}">
      <formula1>"Si, No"</formula1>
    </dataValidation>
    <dataValidation allowBlank="1" showInputMessage="1" showErrorMessage="1" prompt="Celda formulada, información proveniente de la pestaña de deficiencias." sqref="E24" xr:uid="{00000000-0002-0000-0300-000001000000}"/>
    <dataValidation type="list" allowBlank="1" showInputMessage="1" showErrorMessage="1" sqref="E20" xr:uid="{00000000-0002-0000-0300-000002000000}">
      <formula1>"Si,En proceso,No"</formula1>
    </dataValidation>
  </dataValidations>
  <pageMargins left="1.299212598425197" right="0.70866141732283472" top="0.74803149606299213" bottom="0.74803149606299213" header="0.31496062992125984" footer="0.31496062992125984"/>
  <pageSetup paperSize="5" scale="42" orientation="landscape" r:id="rId1"/>
  <headerFooter>
    <oddFooter>Página &amp;P&amp;R&amp;A</oddFooter>
  </headerFooter>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'C:\Users\dell\Desktop\cesar\HISTORICOS\[2020-04-22_Formato_informe_sci_parametrizado_final.xlsx]Analisis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2" t="s">
        <v>25</v>
      </c>
      <c r="B1" s="142" t="s">
        <v>6</v>
      </c>
      <c r="C1" s="143" t="s">
        <v>8</v>
      </c>
      <c r="D1" s="144" t="s">
        <v>26</v>
      </c>
      <c r="E1" s="144" t="s">
        <v>27</v>
      </c>
      <c r="F1" s="144" t="s">
        <v>138</v>
      </c>
      <c r="G1" s="145" t="s">
        <v>139</v>
      </c>
      <c r="H1" s="145" t="s">
        <v>140</v>
      </c>
      <c r="I1" s="145" t="s">
        <v>119</v>
      </c>
      <c r="J1" s="145" t="s">
        <v>141</v>
      </c>
      <c r="K1" s="145" t="s">
        <v>142</v>
      </c>
    </row>
    <row r="2" spans="1:11" x14ac:dyDescent="0.25">
      <c r="A2" s="146" t="s">
        <v>143</v>
      </c>
      <c r="B2" s="146" t="str">
        <f>+VLOOKUP(A2,'Estado SCI'!$A$13:$C$56,3,0)</f>
        <v>AMBIENTE DE CONTROL</v>
      </c>
      <c r="C2" s="146" t="s">
        <v>33</v>
      </c>
      <c r="D2" s="146" t="s">
        <v>34</v>
      </c>
      <c r="E2" s="146" t="s">
        <v>35</v>
      </c>
      <c r="F2" s="146" t="str">
        <f>+VLOOKUP(A2,'Estado SCI'!$A$13:$I$56,9,0)</f>
        <v>Mantenimiento del control</v>
      </c>
      <c r="G2" s="146">
        <f>+VLOOKUP(A2,'Estado SCI'!$A$13:$L$56,12,0)</f>
        <v>20.123000000000001</v>
      </c>
      <c r="H2" s="146">
        <f t="shared" ref="H2:H45" si="0">+_xlfn.RANK.EQ(G2,$G$2:$G$45,1)</f>
        <v>6</v>
      </c>
      <c r="I2" s="146" t="str">
        <f>+IF(VLOOKUP(A2,'Estado SCI'!$A$13:$G$56,7,0)="","",VLOOKUP(A2,'Estado SCI'!$A$13:$G$56,7,0))</f>
        <v>Si</v>
      </c>
      <c r="J2" s="147">
        <f>+IF(I2="Si",1,IF(I2="En proceso",0.5,0))</f>
        <v>1</v>
      </c>
      <c r="K2" s="148">
        <f t="shared" ref="K2:K45" si="1">+AVERAGEIF($B$2:$B$45,B2,$J$2:$J$45)</f>
        <v>0.75</v>
      </c>
    </row>
    <row r="3" spans="1:11" x14ac:dyDescent="0.25">
      <c r="A3" s="146" t="s">
        <v>144</v>
      </c>
      <c r="B3" s="146" t="s">
        <v>32</v>
      </c>
      <c r="C3" s="146" t="s">
        <v>33</v>
      </c>
      <c r="D3" s="146" t="s">
        <v>37</v>
      </c>
      <c r="E3" s="146" t="s">
        <v>38</v>
      </c>
      <c r="F3" s="146" t="str">
        <f>+VLOOKUP(A3,'Estado SCI'!$A$13:$I$56,9,0)</f>
        <v>Mantenimiento del control</v>
      </c>
      <c r="G3" s="146">
        <f>+VLOOKUP(A3,'Estado SCI'!$A$13:$L$56,12,0)</f>
        <v>20.1234</v>
      </c>
      <c r="H3" s="146">
        <f t="shared" si="0"/>
        <v>7</v>
      </c>
      <c r="I3" s="146" t="str">
        <f>+IF(VLOOKUP(A3,'Estado SCI'!$A$13:$G$56,7,0)="","",VLOOKUP(A3,'Estado SCI'!$A$13:$G$56,7,0))</f>
        <v>Si</v>
      </c>
      <c r="J3" s="147">
        <f t="shared" ref="J3:J45" si="2">+IF(I3="Si",1,IF(I3="En proceso",0.5,0))</f>
        <v>1</v>
      </c>
      <c r="K3" s="148">
        <f t="shared" si="1"/>
        <v>0.75</v>
      </c>
    </row>
    <row r="4" spans="1:11" x14ac:dyDescent="0.25">
      <c r="A4" s="146" t="s">
        <v>145</v>
      </c>
      <c r="B4" s="146" t="s">
        <v>32</v>
      </c>
      <c r="C4" s="146" t="s">
        <v>33</v>
      </c>
      <c r="D4" s="146" t="s">
        <v>40</v>
      </c>
      <c r="E4" s="146" t="s">
        <v>41</v>
      </c>
      <c r="F4" s="146" t="str">
        <f>+VLOOKUP(A4,'Estado SCI'!$A$13:$I$56,9,0)</f>
        <v>Mantenimiento del control</v>
      </c>
      <c r="G4" s="146">
        <f>+VLOOKUP(A4,'Estado SCI'!$A$13:$L$56,12,0)</f>
        <v>20.123449999999998</v>
      </c>
      <c r="H4" s="146">
        <f t="shared" si="0"/>
        <v>8</v>
      </c>
      <c r="I4" s="146" t="str">
        <f>+IF(VLOOKUP(A4,'Estado SCI'!$A$13:$G$56,7,0)="","",VLOOKUP(A4,'Estado SCI'!$A$13:$G$56,7,0))</f>
        <v>Si</v>
      </c>
      <c r="J4" s="147">
        <f t="shared" si="2"/>
        <v>1</v>
      </c>
      <c r="K4" s="148">
        <f t="shared" si="1"/>
        <v>0.75</v>
      </c>
    </row>
    <row r="5" spans="1:11" x14ac:dyDescent="0.25">
      <c r="A5" s="146" t="s">
        <v>146</v>
      </c>
      <c r="B5" s="146" t="s">
        <v>32</v>
      </c>
      <c r="C5" s="146" t="s">
        <v>33</v>
      </c>
      <c r="D5" s="146" t="s">
        <v>42</v>
      </c>
      <c r="E5" s="146" t="s">
        <v>43</v>
      </c>
      <c r="F5" s="146" t="str">
        <f>+VLOOKUP(A5,'Estado SCI'!$A$13:$I$56,9,0)</f>
        <v>Oportunidad de mejora</v>
      </c>
      <c r="G5" s="146">
        <f>+VLOOKUP(A5,'Estado SCI'!$A$13:$L$56,12,0)</f>
        <v>10.123455999999999</v>
      </c>
      <c r="H5" s="146">
        <f t="shared" si="0"/>
        <v>2</v>
      </c>
      <c r="I5" s="146" t="str">
        <f>+IF(VLOOKUP(A5,'Estado SCI'!$A$13:$G$56,7,0)="","",VLOOKUP(A5,'Estado SCI'!$A$13:$G$56,7,0))</f>
        <v>En proceso</v>
      </c>
      <c r="J5" s="147">
        <f t="shared" si="2"/>
        <v>0.5</v>
      </c>
      <c r="K5" s="148">
        <f t="shared" si="1"/>
        <v>0.75</v>
      </c>
    </row>
    <row r="6" spans="1:11" x14ac:dyDescent="0.25">
      <c r="A6" s="146" t="s">
        <v>147</v>
      </c>
      <c r="B6" s="146" t="s">
        <v>32</v>
      </c>
      <c r="C6" s="146" t="s">
        <v>33</v>
      </c>
      <c r="D6" s="146" t="s">
        <v>44</v>
      </c>
      <c r="E6" s="146" t="s">
        <v>45</v>
      </c>
      <c r="F6" s="146" t="str">
        <f>+VLOOKUP(A6,'Estado SCI'!$A$13:$I$56,9,0)</f>
        <v>Mantenimiento del control</v>
      </c>
      <c r="G6" s="146">
        <f>+VLOOKUP(A6,'Estado SCI'!$A$13:$L$56,12,0)</f>
        <v>20.123456780000001</v>
      </c>
      <c r="H6" s="146">
        <f t="shared" si="0"/>
        <v>9</v>
      </c>
      <c r="I6" s="146" t="str">
        <f>+IF(VLOOKUP(A6,'Estado SCI'!$A$13:$G$56,7,0)="","",VLOOKUP(A6,'Estado SCI'!$A$13:$G$56,7,0))</f>
        <v>Si</v>
      </c>
      <c r="J6" s="147">
        <f t="shared" si="2"/>
        <v>1</v>
      </c>
      <c r="K6" s="148">
        <f t="shared" si="1"/>
        <v>0.75</v>
      </c>
    </row>
    <row r="7" spans="1:11" x14ac:dyDescent="0.25">
      <c r="A7" s="146" t="s">
        <v>148</v>
      </c>
      <c r="B7" s="146" t="s">
        <v>32</v>
      </c>
      <c r="C7" s="146" t="s">
        <v>33</v>
      </c>
      <c r="D7" s="146" t="s">
        <v>46</v>
      </c>
      <c r="E7" s="146" t="s">
        <v>47</v>
      </c>
      <c r="F7" s="146" t="str">
        <f>+VLOOKUP(A7,'Estado SCI'!$A$13:$I$56,9,0)</f>
        <v>Oportunidad de mejora</v>
      </c>
      <c r="G7" s="146">
        <f>+VLOOKUP(A7,'Estado SCI'!$A$13:$L$56,12,0)</f>
        <v>10.123456789</v>
      </c>
      <c r="H7" s="146">
        <f t="shared" si="0"/>
        <v>3</v>
      </c>
      <c r="I7" s="146" t="str">
        <f>+IF(VLOOKUP(A7,'Estado SCI'!$A$13:$G$56,7,0)="","",VLOOKUP(A7,'Estado SCI'!$A$13:$G$56,7,0))</f>
        <v>En proceso</v>
      </c>
      <c r="J7" s="147">
        <f t="shared" si="2"/>
        <v>0.5</v>
      </c>
      <c r="K7" s="148">
        <f t="shared" si="1"/>
        <v>0.75</v>
      </c>
    </row>
    <row r="8" spans="1:11" x14ac:dyDescent="0.25">
      <c r="A8" s="146" t="s">
        <v>149</v>
      </c>
      <c r="B8" s="146" t="s">
        <v>32</v>
      </c>
      <c r="C8" s="146" t="s">
        <v>33</v>
      </c>
      <c r="D8" s="146" t="s">
        <v>48</v>
      </c>
      <c r="E8" s="146" t="s">
        <v>49</v>
      </c>
      <c r="F8" s="146" t="str">
        <f>+VLOOKUP(A8,'Estado SCI'!$A$13:$I$56,9,0)</f>
        <v>Oportunidad de mejora</v>
      </c>
      <c r="G8" s="146">
        <f>+VLOOKUP(A8,'Estado SCI'!$A$13:$L$56,12,0)</f>
        <v>10.1234567891</v>
      </c>
      <c r="H8" s="146">
        <f t="shared" si="0"/>
        <v>4</v>
      </c>
      <c r="I8" s="146" t="str">
        <f>+IF(VLOOKUP(A8,'Estado SCI'!$A$13:$G$56,7,0)="","",VLOOKUP(A8,'Estado SCI'!$A$13:$G$56,7,0))</f>
        <v>En proceso</v>
      </c>
      <c r="J8" s="147">
        <f t="shared" si="2"/>
        <v>0.5</v>
      </c>
      <c r="K8" s="148">
        <f t="shared" si="1"/>
        <v>0.75</v>
      </c>
    </row>
    <row r="9" spans="1:11" x14ac:dyDescent="0.25">
      <c r="A9" s="146" t="s">
        <v>150</v>
      </c>
      <c r="B9" s="146" t="s">
        <v>32</v>
      </c>
      <c r="C9" s="146" t="s">
        <v>33</v>
      </c>
      <c r="D9" s="146" t="s">
        <v>50</v>
      </c>
      <c r="E9" s="146" t="s">
        <v>51</v>
      </c>
      <c r="F9" s="146" t="str">
        <f>+VLOOKUP(A9,'Estado SCI'!$A$13:$I$56,9,0)</f>
        <v>Mantenimiento del control</v>
      </c>
      <c r="G9" s="146">
        <f>+VLOOKUP(A9,'Estado SCI'!$A$13:$L$56,12,0)</f>
        <v>20.123456789119999</v>
      </c>
      <c r="H9" s="146">
        <f t="shared" si="0"/>
        <v>10</v>
      </c>
      <c r="I9" s="146" t="str">
        <f>+IF(VLOOKUP(A9,'Estado SCI'!$A$13:$G$56,7,0)="","",VLOOKUP(A9,'Estado SCI'!$A$13:$G$56,7,0))</f>
        <v>Si</v>
      </c>
      <c r="J9" s="147">
        <f t="shared" si="2"/>
        <v>1</v>
      </c>
      <c r="K9" s="148">
        <f t="shared" si="1"/>
        <v>0.75</v>
      </c>
    </row>
    <row r="10" spans="1:11" x14ac:dyDescent="0.25">
      <c r="A10" s="146" t="s">
        <v>151</v>
      </c>
      <c r="B10" s="146" t="s">
        <v>32</v>
      </c>
      <c r="C10" s="146" t="s">
        <v>33</v>
      </c>
      <c r="D10" s="146" t="s">
        <v>52</v>
      </c>
      <c r="E10" s="146" t="s">
        <v>53</v>
      </c>
      <c r="F10" s="146" t="str">
        <f>+VLOOKUP(A10,'Estado SCI'!$A$13:$I$56,9,0)</f>
        <v>Mantenimiento del control</v>
      </c>
      <c r="G10" s="146">
        <f>+VLOOKUP(A10,'Estado SCI'!$A$13:$L$56,12,0)</f>
        <v>20.123456789123001</v>
      </c>
      <c r="H10" s="146">
        <f t="shared" si="0"/>
        <v>11</v>
      </c>
      <c r="I10" s="146" t="str">
        <f>+IF(VLOOKUP(A10,'Estado SCI'!$A$13:$G$56,7,0)="","",VLOOKUP(A10,'Estado SCI'!$A$13:$G$56,7,0))</f>
        <v>Si</v>
      </c>
      <c r="J10" s="147">
        <f t="shared" si="2"/>
        <v>1</v>
      </c>
      <c r="K10" s="148">
        <f t="shared" si="1"/>
        <v>0.75</v>
      </c>
    </row>
    <row r="11" spans="1:11" x14ac:dyDescent="0.25">
      <c r="A11" s="146" t="s">
        <v>152</v>
      </c>
      <c r="B11" s="146" t="s">
        <v>32</v>
      </c>
      <c r="C11" s="146" t="s">
        <v>33</v>
      </c>
      <c r="D11" s="146" t="s">
        <v>54</v>
      </c>
      <c r="E11" s="146" t="s">
        <v>55</v>
      </c>
      <c r="F11" s="146" t="str">
        <f>+VLOOKUP(A11,'Estado SCI'!$A$13:$I$56,9,0)</f>
        <v>Deficiencia de control</v>
      </c>
      <c r="G11" s="146">
        <f>+VLOOKUP(A11,'Estado SCI'!$A$13:$L$56,12,0)</f>
        <v>0.1234567891234</v>
      </c>
      <c r="H11" s="146">
        <f t="shared" si="0"/>
        <v>1</v>
      </c>
      <c r="I11" s="146" t="str">
        <f>+IF(VLOOKUP(A11,'Estado SCI'!$A$13:$G$56,7,0)="","",VLOOKUP(A11,'Estado SCI'!$A$13:$G$56,7,0))</f>
        <v>No</v>
      </c>
      <c r="J11" s="147">
        <f t="shared" si="2"/>
        <v>0</v>
      </c>
      <c r="K11" s="148">
        <f t="shared" si="1"/>
        <v>0.75</v>
      </c>
    </row>
    <row r="12" spans="1:11" x14ac:dyDescent="0.25">
      <c r="A12" s="146" t="s">
        <v>153</v>
      </c>
      <c r="B12" s="146" t="s">
        <v>32</v>
      </c>
      <c r="C12" s="146" t="s">
        <v>33</v>
      </c>
      <c r="D12" s="146" t="s">
        <v>56</v>
      </c>
      <c r="E12" s="146" t="s">
        <v>57</v>
      </c>
      <c r="F12" s="146" t="str">
        <f>+VLOOKUP(A12,'Estado SCI'!$A$13:$I$56,9,0)</f>
        <v>Mantenimiento del control</v>
      </c>
      <c r="G12" s="146">
        <f>+VLOOKUP(A12,'Estado SCI'!$A$13:$L$56,12,0)</f>
        <v>20.123456789123448</v>
      </c>
      <c r="H12" s="146">
        <f t="shared" si="0"/>
        <v>12</v>
      </c>
      <c r="I12" s="146" t="str">
        <f>+IF(VLOOKUP(A12,'Estado SCI'!$A$13:$G$56,7,0)="","",VLOOKUP(A12,'Estado SCI'!$A$13:$G$56,7,0))</f>
        <v>Si</v>
      </c>
      <c r="J12" s="147">
        <f t="shared" si="2"/>
        <v>1</v>
      </c>
      <c r="K12" s="148">
        <f t="shared" si="1"/>
        <v>0.75</v>
      </c>
    </row>
    <row r="13" spans="1:11" x14ac:dyDescent="0.25">
      <c r="A13" s="146" t="s">
        <v>154</v>
      </c>
      <c r="B13" s="146" t="s">
        <v>32</v>
      </c>
      <c r="C13" s="146" t="s">
        <v>33</v>
      </c>
      <c r="D13" s="146" t="s">
        <v>58</v>
      </c>
      <c r="E13" s="146" t="s">
        <v>59</v>
      </c>
      <c r="F13" s="146" t="str">
        <f>+VLOOKUP(A13,'Estado SCI'!$A$13:$I$56,9,0)</f>
        <v>Oportunidad de mejora</v>
      </c>
      <c r="G13" s="146">
        <f>+VLOOKUP(A13,'Estado SCI'!$A$13:$L$56,12,0)</f>
        <v>10.123456789123455</v>
      </c>
      <c r="H13" s="146">
        <f t="shared" si="0"/>
        <v>5</v>
      </c>
      <c r="I13" s="146" t="str">
        <f>+IF(VLOOKUP(A13,'Estado SCI'!$A$13:$G$56,7,0)="","",VLOOKUP(A13,'Estado SCI'!$A$13:$G$56,7,0))</f>
        <v>En proceso</v>
      </c>
      <c r="J13" s="147">
        <f t="shared" si="2"/>
        <v>0.5</v>
      </c>
      <c r="K13" s="148">
        <f t="shared" si="1"/>
        <v>0.75</v>
      </c>
    </row>
    <row r="14" spans="1:11" ht="15" customHeight="1" x14ac:dyDescent="0.25">
      <c r="A14" s="146" t="s">
        <v>155</v>
      </c>
      <c r="B14" s="146" t="str">
        <f>+VLOOKUP(A14,'Estado SCI'!$A$13:$C$56,3,0)</f>
        <v>EVALUACION DEL RIESGO</v>
      </c>
      <c r="C14" s="146" t="s">
        <v>62</v>
      </c>
      <c r="D14" s="146" t="s">
        <v>34</v>
      </c>
      <c r="E14" s="146" t="s">
        <v>156</v>
      </c>
      <c r="F14" s="146" t="str">
        <f>+VLOOKUP(A14,'Estado SCI'!$A$13:$I$56,9,0)</f>
        <v>Mantenimiento del control</v>
      </c>
      <c r="G14" s="146">
        <f>+VLOOKUP(A14,'Estado SCI'!$A$13:$L$56,12,0)</f>
        <v>40.229999999999997</v>
      </c>
      <c r="H14" s="146">
        <f t="shared" si="0"/>
        <v>16</v>
      </c>
      <c r="I14" s="146" t="str">
        <f>+IF(VLOOKUP(A14,'Estado SCI'!$A$13:$G$56,7,0)="","",VLOOKUP(A14,'Estado SCI'!$A$13:$G$56,7,0))</f>
        <v>Si</v>
      </c>
      <c r="J14" s="147">
        <f t="shared" si="2"/>
        <v>1</v>
      </c>
      <c r="K14" s="148">
        <f t="shared" si="1"/>
        <v>0.75</v>
      </c>
    </row>
    <row r="15" spans="1:11" ht="15" customHeight="1" x14ac:dyDescent="0.25">
      <c r="A15" s="146" t="s">
        <v>157</v>
      </c>
      <c r="B15" s="146" t="s">
        <v>61</v>
      </c>
      <c r="C15" s="146" t="s">
        <v>62</v>
      </c>
      <c r="D15" s="146" t="s">
        <v>37</v>
      </c>
      <c r="E15" s="146" t="s">
        <v>158</v>
      </c>
      <c r="F15" s="146" t="str">
        <f>+VLOOKUP(A15,'Estado SCI'!$A$13:$I$56,9,0)</f>
        <v>Mantenimiento del control</v>
      </c>
      <c r="G15" s="146">
        <f>+VLOOKUP(A15,'Estado SCI'!$A$13:$L$56,12,0)</f>
        <v>40.234000000000002</v>
      </c>
      <c r="H15" s="146">
        <f t="shared" si="0"/>
        <v>17</v>
      </c>
      <c r="I15" s="146" t="str">
        <f>+IF(VLOOKUP(A15,'Estado SCI'!$A$13:$G$56,7,0)="","",VLOOKUP(A15,'Estado SCI'!$A$13:$G$56,7,0))</f>
        <v>Si</v>
      </c>
      <c r="J15" s="147">
        <f t="shared" si="2"/>
        <v>1</v>
      </c>
      <c r="K15" s="148">
        <f t="shared" si="1"/>
        <v>0.75</v>
      </c>
    </row>
    <row r="16" spans="1:11" ht="15" customHeight="1" x14ac:dyDescent="0.25">
      <c r="A16" s="146" t="s">
        <v>159</v>
      </c>
      <c r="B16" s="146" t="s">
        <v>61</v>
      </c>
      <c r="C16" s="146" t="s">
        <v>62</v>
      </c>
      <c r="D16" s="146" t="s">
        <v>40</v>
      </c>
      <c r="E16" s="146" t="s">
        <v>160</v>
      </c>
      <c r="F16" s="146" t="str">
        <f>+VLOOKUP(A16,'Estado SCI'!$A$13:$I$56,9,0)</f>
        <v>Mantenimiento del control</v>
      </c>
      <c r="G16" s="146">
        <f>+VLOOKUP(A16,'Estado SCI'!$A$13:$L$56,12,0)</f>
        <v>40.234499999999997</v>
      </c>
      <c r="H16" s="146">
        <f t="shared" si="0"/>
        <v>18</v>
      </c>
      <c r="I16" s="146" t="str">
        <f>+IF(VLOOKUP(A16,'Estado SCI'!$A$13:$G$56,7,0)="","",VLOOKUP(A16,'Estado SCI'!$A$13:$G$56,7,0))</f>
        <v>Si</v>
      </c>
      <c r="J16" s="147">
        <f t="shared" si="2"/>
        <v>1</v>
      </c>
      <c r="K16" s="148">
        <f t="shared" si="1"/>
        <v>0.75</v>
      </c>
    </row>
    <row r="17" spans="1:11" ht="15.75" customHeight="1" x14ac:dyDescent="0.25">
      <c r="A17" s="146" t="s">
        <v>161</v>
      </c>
      <c r="B17" s="146" t="s">
        <v>61</v>
      </c>
      <c r="C17" s="146" t="s">
        <v>62</v>
      </c>
      <c r="D17" s="146" t="s">
        <v>42</v>
      </c>
      <c r="E17" s="146" t="s">
        <v>66</v>
      </c>
      <c r="F17" s="146" t="str">
        <f>+VLOOKUP(A17,'Estado SCI'!$A$13:$I$56,9,0)</f>
        <v>Deficiencia de control</v>
      </c>
      <c r="G17" s="146">
        <f>+VLOOKUP(A17,'Estado SCI'!$A$13:$L$56,12,0)</f>
        <v>20.234559999999998</v>
      </c>
      <c r="H17" s="146">
        <f t="shared" si="0"/>
        <v>13</v>
      </c>
      <c r="I17" s="146" t="str">
        <f>+IF(VLOOKUP(A17,'Estado SCI'!$A$13:$G$56,7,0)="","",VLOOKUP(A17,'Estado SCI'!$A$13:$G$56,7,0))</f>
        <v>No</v>
      </c>
      <c r="J17" s="147">
        <f t="shared" si="2"/>
        <v>0</v>
      </c>
      <c r="K17" s="148">
        <f t="shared" si="1"/>
        <v>0.75</v>
      </c>
    </row>
    <row r="18" spans="1:11" ht="15" customHeight="1" x14ac:dyDescent="0.25">
      <c r="A18" s="146" t="s">
        <v>162</v>
      </c>
      <c r="B18" s="146" t="s">
        <v>61</v>
      </c>
      <c r="C18" s="146" t="s">
        <v>80</v>
      </c>
      <c r="D18" s="146" t="s">
        <v>34</v>
      </c>
      <c r="E18" s="146" t="s">
        <v>69</v>
      </c>
      <c r="F18" s="146" t="str">
        <f>+VLOOKUP(A18,'Estado SCI'!$A$13:$I$56,9,0)</f>
        <v>Mantenimiento del control</v>
      </c>
      <c r="G18" s="146">
        <f>+VLOOKUP(A18,'Estado SCI'!$A$13:$L$56,12,0)</f>
        <v>40.234566999999998</v>
      </c>
      <c r="H18" s="146">
        <f t="shared" si="0"/>
        <v>19</v>
      </c>
      <c r="I18" s="146" t="str">
        <f>+IF(VLOOKUP(A18,'Estado SCI'!$A$13:$G$56,7,0)="","",VLOOKUP(A18,'Estado SCI'!$A$13:$G$56,7,0))</f>
        <v>Si</v>
      </c>
      <c r="J18" s="147">
        <f t="shared" si="2"/>
        <v>1</v>
      </c>
      <c r="K18" s="148">
        <f t="shared" si="1"/>
        <v>0.75</v>
      </c>
    </row>
    <row r="19" spans="1:11" ht="15" customHeight="1" x14ac:dyDescent="0.25">
      <c r="A19" s="146" t="s">
        <v>163</v>
      </c>
      <c r="B19" s="146" t="s">
        <v>61</v>
      </c>
      <c r="C19" s="146" t="s">
        <v>80</v>
      </c>
      <c r="D19" s="146" t="s">
        <v>37</v>
      </c>
      <c r="E19" s="146" t="s">
        <v>70</v>
      </c>
      <c r="F19" s="146" t="str">
        <f>+VLOOKUP(A19,'Estado SCI'!$A$13:$I$56,9,0)</f>
        <v>Mantenimiento del control</v>
      </c>
      <c r="G19" s="146">
        <f>+VLOOKUP(A19,'Estado SCI'!$A$13:$L$56,12,0)</f>
        <v>40.234567800000001</v>
      </c>
      <c r="H19" s="146">
        <f t="shared" si="0"/>
        <v>20</v>
      </c>
      <c r="I19" s="146" t="str">
        <f>+IF(VLOOKUP(A19,'Estado SCI'!$A$13:$G$56,7,0)="","",VLOOKUP(A19,'Estado SCI'!$A$13:$G$56,7,0))</f>
        <v>Si</v>
      </c>
      <c r="J19" s="147">
        <f t="shared" si="2"/>
        <v>1</v>
      </c>
      <c r="K19" s="148">
        <f t="shared" si="1"/>
        <v>0.75</v>
      </c>
    </row>
    <row r="20" spans="1:11" ht="15" customHeight="1" x14ac:dyDescent="0.25">
      <c r="A20" s="146" t="s">
        <v>164</v>
      </c>
      <c r="B20" s="146" t="s">
        <v>61</v>
      </c>
      <c r="C20" s="146" t="s">
        <v>80</v>
      </c>
      <c r="D20" s="146" t="s">
        <v>40</v>
      </c>
      <c r="E20" s="146" t="s">
        <v>71</v>
      </c>
      <c r="F20" s="146" t="str">
        <f>+VLOOKUP(A20,'Estado SCI'!$A$13:$I$56,9,0)</f>
        <v>Mantenimiento del control</v>
      </c>
      <c r="G20" s="146">
        <f>+VLOOKUP(A20,'Estado SCI'!$A$13:$L$56,12,0)</f>
        <v>40.234567890000001</v>
      </c>
      <c r="H20" s="146">
        <f t="shared" si="0"/>
        <v>21</v>
      </c>
      <c r="I20" s="146" t="str">
        <f>+IF(VLOOKUP(A20,'Estado SCI'!$A$13:$G$56,7,0)="","",VLOOKUP(A20,'Estado SCI'!$A$13:$G$56,7,0))</f>
        <v>Si</v>
      </c>
      <c r="J20" s="147">
        <f t="shared" si="2"/>
        <v>1</v>
      </c>
      <c r="K20" s="148">
        <f t="shared" si="1"/>
        <v>0.75</v>
      </c>
    </row>
    <row r="21" spans="1:11" ht="15.75" customHeight="1" x14ac:dyDescent="0.25">
      <c r="A21" s="146" t="s">
        <v>165</v>
      </c>
      <c r="B21" s="146" t="s">
        <v>61</v>
      </c>
      <c r="C21" s="146" t="s">
        <v>80</v>
      </c>
      <c r="D21" s="146" t="s">
        <v>34</v>
      </c>
      <c r="E21" s="146" t="s">
        <v>74</v>
      </c>
      <c r="F21" s="146" t="str">
        <f>+VLOOKUP(A21,'Estado SCI'!$A$13:$I$56,9,0)</f>
        <v>Oportunidad de mejora</v>
      </c>
      <c r="G21" s="146">
        <f>+VLOOKUP(A21,'Estado SCI'!$A$13:$L$56,12,0)</f>
        <v>30.234567891200001</v>
      </c>
      <c r="H21" s="146">
        <f t="shared" si="0"/>
        <v>15</v>
      </c>
      <c r="I21" s="146" t="str">
        <f>+IF(VLOOKUP(A21,'Estado SCI'!$A$13:$G$56,7,0)="","",VLOOKUP(A21,'Estado SCI'!$A$13:$G$56,7,0))</f>
        <v>En proceso</v>
      </c>
      <c r="J21" s="147">
        <f t="shared" si="2"/>
        <v>0.5</v>
      </c>
      <c r="K21" s="148">
        <f t="shared" si="1"/>
        <v>0.75</v>
      </c>
    </row>
    <row r="22" spans="1:11" ht="15" customHeight="1" x14ac:dyDescent="0.25">
      <c r="A22" s="146" t="s">
        <v>166</v>
      </c>
      <c r="B22" s="146" t="s">
        <v>61</v>
      </c>
      <c r="C22" s="146" t="s">
        <v>88</v>
      </c>
      <c r="D22" s="146" t="s">
        <v>37</v>
      </c>
      <c r="E22" s="146" t="s">
        <v>75</v>
      </c>
      <c r="F22" s="146" t="str">
        <f>+VLOOKUP(A22,'Estado SCI'!$A$13:$I$56,9,0)</f>
        <v>Deficiencia de control</v>
      </c>
      <c r="G22" s="146">
        <f>+VLOOKUP(A22,'Estado SCI'!$A$13:$L$56,12,0)</f>
        <v>20.23456789123</v>
      </c>
      <c r="H22" s="146">
        <f t="shared" si="0"/>
        <v>14</v>
      </c>
      <c r="I22" s="146" t="str">
        <f>+IF(VLOOKUP(A22,'Estado SCI'!$A$13:$G$56,7,0)="","",VLOOKUP(A22,'Estado SCI'!$A$13:$G$56,7,0))</f>
        <v>No</v>
      </c>
      <c r="J22" s="147">
        <f t="shared" si="2"/>
        <v>0</v>
      </c>
      <c r="K22" s="148">
        <f t="shared" si="1"/>
        <v>0.75</v>
      </c>
    </row>
    <row r="23" spans="1:11" ht="15" customHeight="1" x14ac:dyDescent="0.25">
      <c r="A23" s="146" t="s">
        <v>167</v>
      </c>
      <c r="B23" s="146" t="s">
        <v>61</v>
      </c>
      <c r="C23" s="146" t="s">
        <v>88</v>
      </c>
      <c r="D23" s="146" t="s">
        <v>40</v>
      </c>
      <c r="E23" s="146" t="s">
        <v>77</v>
      </c>
      <c r="F23" s="146" t="str">
        <f>+VLOOKUP(A23,'Estado SCI'!$A$13:$I$56,9,0)</f>
        <v>Mantenimiento del control</v>
      </c>
      <c r="G23" s="146">
        <f>+VLOOKUP(A23,'Estado SCI'!$A$13:$L$56,12,0)</f>
        <v>40.234567891234001</v>
      </c>
      <c r="H23" s="146">
        <f t="shared" si="0"/>
        <v>22</v>
      </c>
      <c r="I23" s="146" t="str">
        <f>+IF(VLOOKUP(A23,'Estado SCI'!$A$13:$G$56,7,0)="","",VLOOKUP(A23,'Estado SCI'!$A$13:$G$56,7,0))</f>
        <v>Si</v>
      </c>
      <c r="J23" s="147">
        <f t="shared" si="2"/>
        <v>1</v>
      </c>
      <c r="K23" s="148">
        <f t="shared" si="1"/>
        <v>0.75</v>
      </c>
    </row>
    <row r="24" spans="1:11" ht="15" customHeight="1" x14ac:dyDescent="0.25">
      <c r="A24" s="146" t="s">
        <v>168</v>
      </c>
      <c r="B24" s="146" t="str">
        <f>+VLOOKUP(A24,'Estado SCI'!$A$13:$C$56,3,0)</f>
        <v>ACTIVIDADES DE CONTROL</v>
      </c>
      <c r="C24" s="146" t="s">
        <v>88</v>
      </c>
      <c r="D24" s="146" t="s">
        <v>34</v>
      </c>
      <c r="E24" s="146" t="s">
        <v>81</v>
      </c>
      <c r="F24" s="146" t="str">
        <f>+VLOOKUP(A24,'Estado SCI'!$A$13:$I$56,9,0)</f>
        <v>Mantenimiento del control</v>
      </c>
      <c r="G24" s="146">
        <f>+VLOOKUP(A24,'Estado SCI'!$A$13:$L$56,12,0)</f>
        <v>60.31</v>
      </c>
      <c r="H24" s="146">
        <f t="shared" si="0"/>
        <v>26</v>
      </c>
      <c r="I24" s="146" t="str">
        <f>+IF(VLOOKUP(A24,'Estado SCI'!$A$13:$G$56,7,0)="","",VLOOKUP(A24,'Estado SCI'!$A$13:$G$56,7,0))</f>
        <v>Si</v>
      </c>
      <c r="J24" s="147">
        <f t="shared" si="2"/>
        <v>1</v>
      </c>
      <c r="K24" s="148">
        <f t="shared" si="1"/>
        <v>0.7</v>
      </c>
    </row>
    <row r="25" spans="1:11" ht="15" customHeight="1" x14ac:dyDescent="0.25">
      <c r="A25" s="146" t="s">
        <v>169</v>
      </c>
      <c r="B25" s="146" t="s">
        <v>79</v>
      </c>
      <c r="C25" s="146" t="s">
        <v>88</v>
      </c>
      <c r="D25" s="146" t="s">
        <v>37</v>
      </c>
      <c r="E25" s="146" t="s">
        <v>82</v>
      </c>
      <c r="F25" s="146" t="str">
        <f>+VLOOKUP(A25,'Estado SCI'!$A$13:$I$56,9,0)</f>
        <v>Oportunidad de mejora</v>
      </c>
      <c r="G25" s="146">
        <f>+VLOOKUP(A25,'Estado SCI'!$A$13:$L$56,12,0)</f>
        <v>50.323</v>
      </c>
      <c r="H25" s="146">
        <f t="shared" si="0"/>
        <v>23</v>
      </c>
      <c r="I25" s="146" t="str">
        <f>+IF(VLOOKUP(A25,'Estado SCI'!$A$13:$G$56,7,0)="","",VLOOKUP(A25,'Estado SCI'!$A$13:$G$56,7,0))</f>
        <v>En proceso</v>
      </c>
      <c r="J25" s="147">
        <f t="shared" si="2"/>
        <v>0.5</v>
      </c>
      <c r="K25" s="148">
        <f t="shared" si="1"/>
        <v>0.7</v>
      </c>
    </row>
    <row r="26" spans="1:11" ht="15" customHeight="1" x14ac:dyDescent="0.25">
      <c r="A26" s="146" t="s">
        <v>170</v>
      </c>
      <c r="B26" s="146" t="s">
        <v>79</v>
      </c>
      <c r="C26" s="146" t="s">
        <v>88</v>
      </c>
      <c r="D26" s="146" t="s">
        <v>40</v>
      </c>
      <c r="E26" s="146" t="s">
        <v>83</v>
      </c>
      <c r="F26" s="146" t="str">
        <f>+VLOOKUP(A26,'Estado SCI'!$A$13:$I$56,9,0)</f>
        <v>Oportunidad de mejora</v>
      </c>
      <c r="G26" s="146">
        <f>+VLOOKUP(A26,'Estado SCI'!$A$13:$L$56,12,0)</f>
        <v>50.323999999999998</v>
      </c>
      <c r="H26" s="146">
        <f t="shared" si="0"/>
        <v>24</v>
      </c>
      <c r="I26" s="146" t="str">
        <f>+IF(VLOOKUP(A26,'Estado SCI'!$A$13:$G$56,7,0)="","",VLOOKUP(A26,'Estado SCI'!$A$13:$G$56,7,0))</f>
        <v>En proceso</v>
      </c>
      <c r="J26" s="147">
        <f t="shared" si="2"/>
        <v>0.5</v>
      </c>
      <c r="K26" s="148">
        <f t="shared" si="1"/>
        <v>0.7</v>
      </c>
    </row>
    <row r="27" spans="1:11" ht="15.75" customHeight="1" x14ac:dyDescent="0.25">
      <c r="A27" s="146" t="s">
        <v>171</v>
      </c>
      <c r="B27" s="146" t="s">
        <v>79</v>
      </c>
      <c r="C27" s="146" t="s">
        <v>88</v>
      </c>
      <c r="D27" s="146" t="s">
        <v>42</v>
      </c>
      <c r="E27" s="146" t="s">
        <v>84</v>
      </c>
      <c r="F27" s="146" t="str">
        <f>+VLOOKUP(A27,'Estado SCI'!$A$13:$I$56,9,0)</f>
        <v>Oportunidad de mejora</v>
      </c>
      <c r="G27" s="146">
        <f>+VLOOKUP(A27,'Estado SCI'!$A$13:$L$56,12,0)</f>
        <v>50.325000000000003</v>
      </c>
      <c r="H27" s="146">
        <f t="shared" si="0"/>
        <v>25</v>
      </c>
      <c r="I27" s="146" t="str">
        <f>+IF(VLOOKUP(A27,'Estado SCI'!$A$13:$G$56,7,0)="","",VLOOKUP(A27,'Estado SCI'!$A$13:$G$56,7,0))</f>
        <v>En proceso</v>
      </c>
      <c r="J27" s="147">
        <f t="shared" si="2"/>
        <v>0.5</v>
      </c>
      <c r="K27" s="148">
        <f t="shared" si="1"/>
        <v>0.7</v>
      </c>
    </row>
    <row r="28" spans="1:11" ht="15" customHeight="1" x14ac:dyDescent="0.25">
      <c r="A28" s="146" t="s">
        <v>172</v>
      </c>
      <c r="B28" s="146" t="s">
        <v>79</v>
      </c>
      <c r="C28" s="146" t="s">
        <v>98</v>
      </c>
      <c r="D28" s="146" t="s">
        <v>44</v>
      </c>
      <c r="E28" s="146" t="s">
        <v>85</v>
      </c>
      <c r="F28" s="146" t="str">
        <f>+VLOOKUP(A28,'Estado SCI'!$A$13:$I$56,9,0)</f>
        <v>Mantenimiento del control</v>
      </c>
      <c r="G28" s="146">
        <f>+VLOOKUP(A28,'Estado SCI'!$A$13:$L$56,12,0)</f>
        <v>60.326000000000001</v>
      </c>
      <c r="H28" s="146">
        <f t="shared" si="0"/>
        <v>27</v>
      </c>
      <c r="I28" s="146" t="str">
        <f>+IF(VLOOKUP(A28,'Estado SCI'!$A$13:$G$56,7,0)="","",VLOOKUP(A28,'Estado SCI'!$A$13:$G$56,7,0))</f>
        <v>Si</v>
      </c>
      <c r="J28" s="147">
        <f t="shared" si="2"/>
        <v>1</v>
      </c>
      <c r="K28" s="148">
        <f t="shared" si="1"/>
        <v>0.7</v>
      </c>
    </row>
    <row r="29" spans="1:11" ht="15" customHeight="1" x14ac:dyDescent="0.25">
      <c r="A29" s="146" t="s">
        <v>173</v>
      </c>
      <c r="B29" s="146" t="str">
        <f>+VLOOKUP(A29,'Estado SCI'!$A$13:$C$56,3,0)</f>
        <v>INFORMACION Y COMUNICACIÓN</v>
      </c>
      <c r="C29" s="146" t="s">
        <v>98</v>
      </c>
      <c r="D29" s="146" t="s">
        <v>34</v>
      </c>
      <c r="E29" s="146" t="s">
        <v>89</v>
      </c>
      <c r="F29" s="146" t="str">
        <f>+VLOOKUP(A29,'Estado SCI'!$A$13:$I$56,9,0)</f>
        <v>Oportunidad de mejora</v>
      </c>
      <c r="G29" s="146">
        <f>+VLOOKUP(A29,'Estado SCI'!$A$13:$L$56,12,0)</f>
        <v>70.412000000000006</v>
      </c>
      <c r="H29" s="146">
        <f t="shared" si="0"/>
        <v>30</v>
      </c>
      <c r="I29" s="146" t="str">
        <f>+IF(VLOOKUP(A29,'Estado SCI'!$A$13:$G$56,7,0)="","",VLOOKUP(A29,'Estado SCI'!$A$13:$G$56,7,0))</f>
        <v>En proceso</v>
      </c>
      <c r="J29" s="147">
        <f t="shared" si="2"/>
        <v>0.5</v>
      </c>
      <c r="K29" s="148">
        <f t="shared" si="1"/>
        <v>0.42857142857142855</v>
      </c>
    </row>
    <row r="30" spans="1:11" ht="15" customHeight="1" x14ac:dyDescent="0.25">
      <c r="A30" s="146" t="s">
        <v>174</v>
      </c>
      <c r="B30" s="146" t="s">
        <v>87</v>
      </c>
      <c r="C30" s="146" t="s">
        <v>98</v>
      </c>
      <c r="D30" s="146" t="s">
        <v>37</v>
      </c>
      <c r="E30" s="146" t="s">
        <v>90</v>
      </c>
      <c r="F30" s="146" t="str">
        <f>+VLOOKUP(A30,'Estado SCI'!$A$13:$I$56,9,0)</f>
        <v>Mantenimiento del control</v>
      </c>
      <c r="G30" s="146">
        <f>+VLOOKUP(A30,'Estado SCI'!$A$13:$L$56,12,0)</f>
        <v>80.412300000000002</v>
      </c>
      <c r="H30" s="146">
        <f t="shared" si="0"/>
        <v>34</v>
      </c>
      <c r="I30" s="146" t="str">
        <f>+IF(VLOOKUP(A30,'Estado SCI'!$A$13:$G$56,7,0)="","",VLOOKUP(A30,'Estado SCI'!$A$13:$G$56,7,0))</f>
        <v>Si</v>
      </c>
      <c r="J30" s="147">
        <f t="shared" si="2"/>
        <v>1</v>
      </c>
      <c r="K30" s="148">
        <f t="shared" si="1"/>
        <v>0.42857142857142855</v>
      </c>
    </row>
    <row r="31" spans="1:11" ht="15.75" customHeight="1" x14ac:dyDescent="0.25">
      <c r="A31" s="146" t="s">
        <v>175</v>
      </c>
      <c r="B31" s="146" t="s">
        <v>87</v>
      </c>
      <c r="C31" s="146" t="s">
        <v>98</v>
      </c>
      <c r="D31" s="146" t="s">
        <v>40</v>
      </c>
      <c r="E31" s="146" t="s">
        <v>91</v>
      </c>
      <c r="F31" s="146" t="str">
        <f>+VLOOKUP(A31,'Estado SCI'!$A$13:$I$56,9,0)</f>
        <v>Oportunidad de mejora</v>
      </c>
      <c r="G31" s="146">
        <f>+VLOOKUP(A31,'Estado SCI'!$A$13:$L$56,12,0)</f>
        <v>70.41234</v>
      </c>
      <c r="H31" s="146">
        <f t="shared" si="0"/>
        <v>31</v>
      </c>
      <c r="I31" s="146" t="str">
        <f>+IF(VLOOKUP(A31,'Estado SCI'!$A$13:$G$56,7,0)="","",VLOOKUP(A31,'Estado SCI'!$A$13:$G$56,7,0))</f>
        <v>En proceso</v>
      </c>
      <c r="J31" s="147">
        <f t="shared" si="2"/>
        <v>0.5</v>
      </c>
      <c r="K31" s="148">
        <f t="shared" si="1"/>
        <v>0.42857142857142855</v>
      </c>
    </row>
    <row r="32" spans="1:11" x14ac:dyDescent="0.25">
      <c r="A32" s="146" t="s">
        <v>176</v>
      </c>
      <c r="B32" s="146" t="s">
        <v>87</v>
      </c>
      <c r="C32" s="146" t="s">
        <v>104</v>
      </c>
      <c r="D32" s="146" t="s">
        <v>42</v>
      </c>
      <c r="E32" s="146" t="s">
        <v>92</v>
      </c>
      <c r="F32" s="146" t="str">
        <f>+VLOOKUP(A32,'Estado SCI'!$A$13:$I$56,9,0)</f>
        <v>Deficiencia de control</v>
      </c>
      <c r="G32" s="146">
        <f>+VLOOKUP(A32,'Estado SCI'!$A$13:$L$56,12,0)</f>
        <v>60.412345000000002</v>
      </c>
      <c r="H32" s="146">
        <f t="shared" si="0"/>
        <v>28</v>
      </c>
      <c r="I32" s="146" t="str">
        <f>+IF(VLOOKUP(A32,'Estado SCI'!$A$13:$G$56,7,0)="","",VLOOKUP(A32,'Estado SCI'!$A$13:$G$56,7,0))</f>
        <v>No</v>
      </c>
      <c r="J32" s="147">
        <f t="shared" si="2"/>
        <v>0</v>
      </c>
      <c r="K32" s="148">
        <f t="shared" si="1"/>
        <v>0.42857142857142855</v>
      </c>
    </row>
    <row r="33" spans="1:11" x14ac:dyDescent="0.25">
      <c r="A33" s="146" t="s">
        <v>177</v>
      </c>
      <c r="B33" s="146" t="s">
        <v>87</v>
      </c>
      <c r="C33" s="146" t="s">
        <v>178</v>
      </c>
      <c r="D33" s="146" t="s">
        <v>44</v>
      </c>
      <c r="E33" s="146" t="s">
        <v>93</v>
      </c>
      <c r="F33" s="146" t="str">
        <f>+VLOOKUP(A33,'Estado SCI'!$A$13:$I$56,9,0)</f>
        <v>Deficiencia de control</v>
      </c>
      <c r="G33" s="146">
        <f>+VLOOKUP(A33,'Estado SCI'!$A$13:$L$56,12,0)</f>
        <v>60.412345600000002</v>
      </c>
      <c r="H33" s="146">
        <f t="shared" si="0"/>
        <v>29</v>
      </c>
      <c r="I33" s="146" t="str">
        <f>+IF(VLOOKUP(A33,'Estado SCI'!$A$13:$G$56,7,0)="","",VLOOKUP(A33,'Estado SCI'!$A$13:$G$56,7,0))</f>
        <v>No</v>
      </c>
      <c r="J33" s="147">
        <f t="shared" si="2"/>
        <v>0</v>
      </c>
      <c r="K33" s="148">
        <f t="shared" si="1"/>
        <v>0.42857142857142855</v>
      </c>
    </row>
    <row r="34" spans="1:11" x14ac:dyDescent="0.25">
      <c r="A34" s="146" t="s">
        <v>179</v>
      </c>
      <c r="B34" s="146" t="s">
        <v>87</v>
      </c>
      <c r="C34" s="146" t="s">
        <v>178</v>
      </c>
      <c r="D34" s="146" t="s">
        <v>46</v>
      </c>
      <c r="E34" s="146" t="s">
        <v>94</v>
      </c>
      <c r="F34" s="146" t="str">
        <f>+VLOOKUP(A34,'Estado SCI'!$A$13:$I$56,9,0)</f>
        <v>Oportunidad de mejora</v>
      </c>
      <c r="G34" s="146">
        <f>+VLOOKUP(A34,'Estado SCI'!$A$13:$L$56,12,0)</f>
        <v>70.412345669999993</v>
      </c>
      <c r="H34" s="146">
        <f t="shared" si="0"/>
        <v>32</v>
      </c>
      <c r="I34" s="146" t="str">
        <f>+IF(VLOOKUP(A34,'Estado SCI'!$A$13:$G$56,7,0)="","",VLOOKUP(A34,'Estado SCI'!$A$13:$G$56,7,0))</f>
        <v>En proceso</v>
      </c>
      <c r="J34" s="147">
        <f t="shared" si="2"/>
        <v>0.5</v>
      </c>
      <c r="K34" s="148">
        <f t="shared" si="1"/>
        <v>0.42857142857142855</v>
      </c>
    </row>
    <row r="35" spans="1:11" x14ac:dyDescent="0.25">
      <c r="A35" s="146" t="s">
        <v>180</v>
      </c>
      <c r="B35" s="146" t="s">
        <v>87</v>
      </c>
      <c r="C35" s="146" t="s">
        <v>178</v>
      </c>
      <c r="D35" s="146" t="s">
        <v>48</v>
      </c>
      <c r="E35" s="146" t="s">
        <v>95</v>
      </c>
      <c r="F35" s="146" t="str">
        <f>+VLOOKUP(A35,'Estado SCI'!$A$13:$I$56,9,0)</f>
        <v>Oportunidad de mejora</v>
      </c>
      <c r="G35" s="146">
        <f>+VLOOKUP(A35,'Estado SCI'!$A$13:$L$56,12,0)</f>
        <v>70.412345677999994</v>
      </c>
      <c r="H35" s="146">
        <f t="shared" si="0"/>
        <v>33</v>
      </c>
      <c r="I35" s="146" t="str">
        <f>+IF(VLOOKUP(A35,'Estado SCI'!$A$13:$G$56,7,0)="","",VLOOKUP(A35,'Estado SCI'!$A$13:$G$56,7,0))</f>
        <v>En proceso</v>
      </c>
      <c r="J35" s="147">
        <f t="shared" si="2"/>
        <v>0.5</v>
      </c>
      <c r="K35" s="148">
        <f t="shared" si="1"/>
        <v>0.42857142857142855</v>
      </c>
    </row>
    <row r="36" spans="1:11" x14ac:dyDescent="0.25">
      <c r="A36" s="146" t="s">
        <v>181</v>
      </c>
      <c r="B36" s="146" t="str">
        <f>+VLOOKUP(A36,'Estado SCI'!$A$13:$C$56,3,0)</f>
        <v>ACTIVIDADES DE MONITOREO</v>
      </c>
      <c r="C36" s="146" t="s">
        <v>178</v>
      </c>
      <c r="D36" s="146" t="s">
        <v>34</v>
      </c>
      <c r="E36" s="146" t="s">
        <v>99</v>
      </c>
      <c r="F36" s="146" t="str">
        <f>+VLOOKUP(A36,'Estado SCI'!$A$13:$I$56,9,0)</f>
        <v>Oportunidad de mejora</v>
      </c>
      <c r="G36" s="146">
        <f>+VLOOKUP(A36,'Estado SCI'!$A$13:$L$56,12,0)</f>
        <v>100.851</v>
      </c>
      <c r="H36" s="146">
        <f t="shared" si="0"/>
        <v>39</v>
      </c>
      <c r="I36" s="146" t="str">
        <f>+IF(VLOOKUP(A36,'Estado SCI'!$A$13:$G$56,7,0)="","",VLOOKUP(A36,'Estado SCI'!$A$13:$G$56,7,0))</f>
        <v>En proceso</v>
      </c>
      <c r="J36" s="147">
        <f t="shared" si="2"/>
        <v>0.5</v>
      </c>
      <c r="K36" s="148">
        <f t="shared" si="1"/>
        <v>0.45</v>
      </c>
    </row>
    <row r="37" spans="1:11" x14ac:dyDescent="0.25">
      <c r="A37" s="146" t="s">
        <v>182</v>
      </c>
      <c r="B37" s="146" t="s">
        <v>97</v>
      </c>
      <c r="C37" s="146" t="s">
        <v>178</v>
      </c>
      <c r="D37" s="146" t="s">
        <v>42</v>
      </c>
      <c r="E37" s="146" t="s">
        <v>100</v>
      </c>
      <c r="F37" s="146" t="str">
        <f>+VLOOKUP(A37,'Estado SCI'!$A$13:$I$56,9,0)</f>
        <v>Mantenimiento del control</v>
      </c>
      <c r="G37" s="146">
        <f>+VLOOKUP(A37,'Estado SCI'!$A$13:$L$56,12,0)</f>
        <v>120.85120000000001</v>
      </c>
      <c r="H37" s="146">
        <f t="shared" si="0"/>
        <v>42</v>
      </c>
      <c r="I37" s="146" t="str">
        <f>+IF(VLOOKUP(A37,'Estado SCI'!$A$13:$G$56,7,0)="","",VLOOKUP(A37,'Estado SCI'!$A$13:$G$56,7,0))</f>
        <v>Si</v>
      </c>
      <c r="J37" s="147">
        <f t="shared" si="2"/>
        <v>1</v>
      </c>
      <c r="K37" s="148">
        <f t="shared" si="1"/>
        <v>0.45</v>
      </c>
    </row>
    <row r="38" spans="1:11" x14ac:dyDescent="0.25">
      <c r="A38" s="146" t="s">
        <v>183</v>
      </c>
      <c r="B38" s="146" t="s">
        <v>97</v>
      </c>
      <c r="C38" s="146" t="s">
        <v>68</v>
      </c>
      <c r="D38" s="146" t="s">
        <v>46</v>
      </c>
      <c r="E38" s="146" t="s">
        <v>101</v>
      </c>
      <c r="F38" s="146" t="str">
        <f>+VLOOKUP(A38,'Estado SCI'!$A$13:$I$56,9,0)</f>
        <v>Oportunidad de mejora</v>
      </c>
      <c r="G38" s="146">
        <f>+VLOOKUP(A38,'Estado SCI'!$A$13:$L$56,12,0)</f>
        <v>100.85123</v>
      </c>
      <c r="H38" s="146">
        <f t="shared" si="0"/>
        <v>40</v>
      </c>
      <c r="I38" s="146" t="str">
        <f>+IF(VLOOKUP(A38,'Estado SCI'!$A$13:$G$56,7,0)="","",VLOOKUP(A38,'Estado SCI'!$A$13:$G$56,7,0))</f>
        <v>En proceso</v>
      </c>
      <c r="J38" s="147">
        <f t="shared" si="2"/>
        <v>0.5</v>
      </c>
      <c r="K38" s="148">
        <f t="shared" si="1"/>
        <v>0.45</v>
      </c>
    </row>
    <row r="39" spans="1:11" x14ac:dyDescent="0.25">
      <c r="A39" s="146" t="s">
        <v>184</v>
      </c>
      <c r="B39" s="146" t="s">
        <v>97</v>
      </c>
      <c r="C39" s="146" t="s">
        <v>68</v>
      </c>
      <c r="D39" s="146" t="s">
        <v>48</v>
      </c>
      <c r="E39" s="146" t="s">
        <v>102</v>
      </c>
      <c r="F39" s="146" t="str">
        <f>+VLOOKUP(A39,'Estado SCI'!$A$13:$I$56,9,0)</f>
        <v>Mantenimiento del control</v>
      </c>
      <c r="G39" s="146">
        <f>+VLOOKUP(A39,'Estado SCI'!$A$13:$L$56,12,0)</f>
        <v>120.85123400000001</v>
      </c>
      <c r="H39" s="146">
        <f t="shared" si="0"/>
        <v>43</v>
      </c>
      <c r="I39" s="146" t="str">
        <f>+IF(VLOOKUP(A39,'Estado SCI'!$A$13:$G$56,7,0)="","",VLOOKUP(A39,'Estado SCI'!$A$13:$G$56,7,0))</f>
        <v>Si</v>
      </c>
      <c r="J39" s="147">
        <f t="shared" si="2"/>
        <v>1</v>
      </c>
      <c r="K39" s="148">
        <f t="shared" si="1"/>
        <v>0.45</v>
      </c>
    </row>
    <row r="40" spans="1:11" x14ac:dyDescent="0.25">
      <c r="A40" s="146" t="s">
        <v>185</v>
      </c>
      <c r="B40" s="146" t="s">
        <v>97</v>
      </c>
      <c r="C40" s="146" t="s">
        <v>68</v>
      </c>
      <c r="D40" s="146" t="s">
        <v>50</v>
      </c>
      <c r="E40" s="146" t="s">
        <v>105</v>
      </c>
      <c r="F40" s="146" t="str">
        <f>+VLOOKUP(A40,'Estado SCI'!$A$13:$I$56,9,0)</f>
        <v>Mantenimiento del control</v>
      </c>
      <c r="G40" s="146">
        <f>+VLOOKUP(A40,'Estado SCI'!$A$13:$L$56,12,0)</f>
        <v>120.8512345</v>
      </c>
      <c r="H40" s="146">
        <f t="shared" si="0"/>
        <v>44</v>
      </c>
      <c r="I40" s="146" t="str">
        <f>+IF(VLOOKUP(A40,'Estado SCI'!$A$13:$G$56,7,0)="","",VLOOKUP(A40,'Estado SCI'!$A$13:$G$56,7,0))</f>
        <v>Si</v>
      </c>
      <c r="J40" s="147">
        <f t="shared" si="2"/>
        <v>1</v>
      </c>
      <c r="K40" s="148">
        <f t="shared" si="1"/>
        <v>0.45</v>
      </c>
    </row>
    <row r="41" spans="1:11" x14ac:dyDescent="0.25">
      <c r="A41" s="146" t="s">
        <v>186</v>
      </c>
      <c r="B41" s="146" t="s">
        <v>97</v>
      </c>
      <c r="C41" s="146" t="s">
        <v>68</v>
      </c>
      <c r="D41" s="146" t="s">
        <v>34</v>
      </c>
      <c r="E41" s="146" t="s">
        <v>108</v>
      </c>
      <c r="F41" s="146" t="str">
        <f>+VLOOKUP(A41,'Estado SCI'!$A$13:$I$56,9,0)</f>
        <v>Oportunidad de mejora</v>
      </c>
      <c r="G41" s="146">
        <f>+VLOOKUP(A41,'Estado SCI'!$A$13:$L$56,12,0)</f>
        <v>100.85123455999999</v>
      </c>
      <c r="H41" s="146">
        <f t="shared" si="0"/>
        <v>41</v>
      </c>
      <c r="I41" s="146" t="str">
        <f>+IF(VLOOKUP(A41,'Estado SCI'!$A$13:$G$56,7,0)="","",VLOOKUP(A41,'Estado SCI'!$A$13:$G$56,7,0))</f>
        <v>En proceso</v>
      </c>
      <c r="J41" s="147">
        <f t="shared" si="2"/>
        <v>0.5</v>
      </c>
      <c r="K41" s="148">
        <f t="shared" si="1"/>
        <v>0.45</v>
      </c>
    </row>
    <row r="42" spans="1:11" x14ac:dyDescent="0.25">
      <c r="A42" s="146" t="s">
        <v>187</v>
      </c>
      <c r="B42" s="146" t="s">
        <v>97</v>
      </c>
      <c r="C42" s="146" t="s">
        <v>73</v>
      </c>
      <c r="D42" s="146" t="s">
        <v>37</v>
      </c>
      <c r="E42" s="146" t="s">
        <v>109</v>
      </c>
      <c r="F42" s="146" t="str">
        <f>+VLOOKUP(A42,'Estado SCI'!$A$13:$I$56,9,0)</f>
        <v>Deficiencia de control</v>
      </c>
      <c r="G42" s="146">
        <f>+VLOOKUP(A42,'Estado SCI'!$A$13:$L$56,12,0)</f>
        <v>80.851234567000006</v>
      </c>
      <c r="H42" s="146">
        <f t="shared" si="0"/>
        <v>35</v>
      </c>
      <c r="I42" s="146" t="str">
        <f>+IF(VLOOKUP(A42,'Estado SCI'!$A$13:$G$56,7,0)="","",VLOOKUP(A42,'Estado SCI'!$A$13:$G$56,7,0))</f>
        <v>No</v>
      </c>
      <c r="J42" s="147">
        <f t="shared" si="2"/>
        <v>0</v>
      </c>
      <c r="K42" s="148">
        <f t="shared" si="1"/>
        <v>0.45</v>
      </c>
    </row>
    <row r="43" spans="1:11" x14ac:dyDescent="0.25">
      <c r="A43" s="146" t="s">
        <v>188</v>
      </c>
      <c r="B43" s="146" t="s">
        <v>97</v>
      </c>
      <c r="C43" s="146" t="s">
        <v>73</v>
      </c>
      <c r="D43" s="146" t="s">
        <v>40</v>
      </c>
      <c r="E43" s="146" t="s">
        <v>110</v>
      </c>
      <c r="F43" s="146" t="str">
        <f>+VLOOKUP(A43,'Estado SCI'!$A$13:$I$56,9,0)</f>
        <v>Deficiencia de control</v>
      </c>
      <c r="G43" s="146">
        <f>+VLOOKUP(A43,'Estado SCI'!$A$13:$L$56,12,0)</f>
        <v>80.851234567800006</v>
      </c>
      <c r="H43" s="146">
        <f t="shared" si="0"/>
        <v>36</v>
      </c>
      <c r="I43" s="146" t="str">
        <f>+IF(VLOOKUP(A43,'Estado SCI'!$A$13:$G$56,7,0)="","",VLOOKUP(A43,'Estado SCI'!$A$13:$G$56,7,0))</f>
        <v>No</v>
      </c>
      <c r="J43" s="147">
        <f t="shared" si="2"/>
        <v>0</v>
      </c>
      <c r="K43" s="148">
        <f t="shared" si="1"/>
        <v>0.45</v>
      </c>
    </row>
    <row r="44" spans="1:11" x14ac:dyDescent="0.25">
      <c r="A44" s="146" t="s">
        <v>189</v>
      </c>
      <c r="B44" s="146" t="s">
        <v>97</v>
      </c>
      <c r="C44" s="146" t="s">
        <v>73</v>
      </c>
      <c r="D44" s="146" t="s">
        <v>42</v>
      </c>
      <c r="E44" s="146" t="s">
        <v>111</v>
      </c>
      <c r="F44" s="146" t="str">
        <f>+VLOOKUP(A44,'Estado SCI'!$A$13:$I$56,9,0)</f>
        <v>Deficiencia de control</v>
      </c>
      <c r="G44" s="146">
        <f>+VLOOKUP(A44,'Estado SCI'!$A$13:$L$56,12,0)</f>
        <v>80.851234567890003</v>
      </c>
      <c r="H44" s="146">
        <f t="shared" si="0"/>
        <v>37</v>
      </c>
      <c r="I44" s="146" t="str">
        <f>+IF(VLOOKUP(A44,'Estado SCI'!$A$13:$G$56,7,0)="","",VLOOKUP(A44,'Estado SCI'!$A$13:$G$56,7,0))</f>
        <v>No</v>
      </c>
      <c r="J44" s="147">
        <f t="shared" si="2"/>
        <v>0</v>
      </c>
      <c r="K44" s="148">
        <f t="shared" si="1"/>
        <v>0.45</v>
      </c>
    </row>
    <row r="45" spans="1:11" x14ac:dyDescent="0.25">
      <c r="A45" s="146" t="s">
        <v>190</v>
      </c>
      <c r="B45" s="146" t="s">
        <v>97</v>
      </c>
      <c r="C45" s="146" t="s">
        <v>73</v>
      </c>
      <c r="D45" s="146" t="s">
        <v>44</v>
      </c>
      <c r="E45" s="146" t="s">
        <v>112</v>
      </c>
      <c r="F45" s="146" t="str">
        <f>+VLOOKUP(A45,'Estado SCI'!$A$13:$I$56,9,0)</f>
        <v>Deficiencia de control</v>
      </c>
      <c r="G45" s="146">
        <f>+VLOOKUP(A45,'Estado SCI'!$A$13:$L$56,12,0)</f>
        <v>80.851234567890998</v>
      </c>
      <c r="H45" s="146">
        <f t="shared" si="0"/>
        <v>38</v>
      </c>
      <c r="I45" s="146" t="str">
        <f>+IF(VLOOKUP(A45,'Estado SCI'!$A$13:$G$56,7,0)="","",VLOOKUP(A45,'Estado SCI'!$A$13:$G$56,7,0))</f>
        <v>No</v>
      </c>
      <c r="J45" s="147">
        <f t="shared" si="2"/>
        <v>0</v>
      </c>
      <c r="K45" s="148">
        <f t="shared" si="1"/>
        <v>0.45</v>
      </c>
    </row>
  </sheetData>
  <sheetProtection sheet="1" objects="1" scenarios="1" selectLockedCells="1"/>
  <autoFilter ref="A1:K45" xr:uid="{00000000-0009-0000-0000-000004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Instructivo</vt:lpstr>
      <vt:lpstr>Estado SCI</vt:lpstr>
      <vt:lpstr>Análisis Resultados</vt:lpstr>
      <vt:lpstr>Conclusión</vt:lpstr>
      <vt:lpstr>Hoja1</vt:lpstr>
      <vt:lpstr>'Análisis Resultados'!Área_de_impresión</vt:lpstr>
      <vt:lpstr>Conclusión!Área_de_impresión</vt:lpstr>
      <vt:lpstr>'Estado SCI'!Área_de_impresión</vt:lpstr>
      <vt:lpstr>'Análisis Resultados'!Títulos_a_imprimir</vt:lpstr>
      <vt:lpstr>Conclusión!Títulos_a_imprimir</vt:lpstr>
      <vt:lpstr>'Estado SCI'!Títulos_a_imprimir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Jaqueline Meza</cp:lastModifiedBy>
  <cp:revision/>
  <cp:lastPrinted>2024-01-26T22:46:20Z</cp:lastPrinted>
  <dcterms:created xsi:type="dcterms:W3CDTF">2020-04-28T13:58:09Z</dcterms:created>
  <dcterms:modified xsi:type="dcterms:W3CDTF">2024-01-26T22:50:16Z</dcterms:modified>
</cp:coreProperties>
</file>